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tabRatio="855" activeTab="0"/>
  </bookViews>
  <sheets>
    <sheet name="원가계산서" sheetId="1" r:id="rId1"/>
    <sheet name="내역서" sheetId="2" r:id="rId2"/>
    <sheet name="일위대가목록" sheetId="3" r:id="rId3"/>
    <sheet name="일위대가_호표" sheetId="4" r:id="rId4"/>
    <sheet name="자재조서" sheetId="5" r:id="rId5"/>
    <sheet name="노임단가" sheetId="6" r:id="rId6"/>
    <sheet name="견적서" sheetId="7" r:id="rId7"/>
    <sheet name="전역변수" sheetId="8" state="hidden" r:id="rId8"/>
    <sheet name="중기전역변수" sheetId="9" state="hidden" r:id="rId9"/>
  </sheets>
  <externalReferences>
    <externalReference r:id="rId12"/>
  </externalReferences>
  <definedNames>
    <definedName name="_xlnm.Print_Area" localSheetId="6">'견적서'!$A$1:$G$84</definedName>
    <definedName name="_xlnm.Print_Area" localSheetId="1">'내역서'!$A$1:$M$28</definedName>
    <definedName name="_xlnm.Print_Area" localSheetId="5">'노임단가'!$A$1:$E$12</definedName>
    <definedName name="_xlnm.Print_Area" localSheetId="0">'원가계산서'!$A$1:$F$26</definedName>
    <definedName name="_xlnm.Print_Area" localSheetId="3">'일위대가_호표'!$A$1:$M$148</definedName>
    <definedName name="_xlnm.Print_Area" localSheetId="2">'일위대가목록'!$A$1:$I$30</definedName>
    <definedName name="_xlnm.Print_Titles" localSheetId="1">'내역서'!$2:$4</definedName>
    <definedName name="_xlnm.Print_Titles" localSheetId="5">'노임단가'!$1:$2</definedName>
    <definedName name="_xlnm.Print_Titles" localSheetId="3">'일위대가_호표'!$1:$4</definedName>
    <definedName name="_xlnm.Print_Titles" localSheetId="2">'일위대가목록'!$1:$3</definedName>
    <definedName name="_xlnm.Print_Titles" localSheetId="4">'자재조서'!$1:$3</definedName>
    <definedName name="_xlnm.Print_Titles" localSheetId="7">'전역변수'!$1:$2</definedName>
    <definedName name="_xlnm.Print_Titles" localSheetId="8">'중기전역변수'!$1:$2</definedName>
  </definedNames>
  <calcPr fullCalcOnLoad="1"/>
</workbook>
</file>

<file path=xl/sharedStrings.xml><?xml version="1.0" encoding="utf-8"?>
<sst xmlns="http://schemas.openxmlformats.org/spreadsheetml/2006/main" count="1025" uniqueCount="426">
  <si>
    <t>QEQTY2</t>
  </si>
  <si>
    <t>(SANG + JUNG + KWAN)*10^-4</t>
  </si>
  <si>
    <t>수 량</t>
  </si>
  <si>
    <t>적용단위</t>
  </si>
  <si>
    <t>노임계금액소숫점</t>
  </si>
  <si>
    <t>QEINC2</t>
  </si>
  <si>
    <t>특별인부</t>
  </si>
  <si>
    <t>보통인부</t>
  </si>
  <si>
    <t>경    비</t>
  </si>
  <si>
    <t>시간당노임산출계수(해상장비:버켓준설선)</t>
  </si>
  <si>
    <t>노임금액소숫점</t>
  </si>
  <si>
    <t>노임단가소숫점</t>
  </si>
  <si>
    <t>QLINCZ</t>
  </si>
  <si>
    <t>QH21</t>
  </si>
  <si>
    <t>변 수 명</t>
  </si>
  <si>
    <t>QUS2WON3</t>
  </si>
  <si>
    <t>QDECLA</t>
  </si>
  <si>
    <t>QYEN2WON</t>
  </si>
  <si>
    <t>QOPtimeDecOp</t>
  </si>
  <si>
    <t>금 액</t>
  </si>
  <si>
    <t>QOPtimeDecCnt</t>
  </si>
  <si>
    <t>공 종 명</t>
  </si>
  <si>
    <t>노임할증계수(터널구간:야간)</t>
  </si>
  <si>
    <t>QECU2WON</t>
  </si>
  <si>
    <t>노임할증계수(장대터널:주야간)</t>
  </si>
  <si>
    <t>경비계금액소숫점</t>
  </si>
  <si>
    <t xml:space="preserve">   값   </t>
  </si>
  <si>
    <t>주</t>
  </si>
  <si>
    <t>QDECEQ</t>
  </si>
  <si>
    <t>QUS2WON1</t>
  </si>
  <si>
    <t>중기야간경비산출계수</t>
  </si>
  <si>
    <t>단 가</t>
  </si>
  <si>
    <t>QLINCX</t>
  </si>
  <si>
    <t>비    고</t>
  </si>
  <si>
    <t>노임할증계수(해상장비:주간)</t>
  </si>
  <si>
    <t>QLINCB</t>
  </si>
  <si>
    <t>비 고</t>
  </si>
  <si>
    <t>노임할증계수(터널구간:주간)</t>
  </si>
  <si>
    <t>QDM2WON</t>
  </si>
  <si>
    <t>환율(사용자 환율1)</t>
  </si>
  <si>
    <t>QDATE</t>
  </si>
  <si>
    <t>시간당노임산출계수(터널구간)</t>
  </si>
  <si>
    <t>재료비할증계수(주야간)</t>
  </si>
  <si>
    <t>문자</t>
  </si>
  <si>
    <t>QH31</t>
  </si>
  <si>
    <t>노임할증계수(해상장비:야간)</t>
  </si>
  <si>
    <t>QLINCF</t>
  </si>
  <si>
    <t>중기주야간할증계수</t>
  </si>
  <si>
    <t>QMINC3</t>
  </si>
  <si>
    <t>단위</t>
  </si>
  <si>
    <t>QH1</t>
  </si>
  <si>
    <t>규    격</t>
  </si>
  <si>
    <t>QDECMA</t>
  </si>
  <si>
    <t>QSABUN</t>
  </si>
  <si>
    <t xml:space="preserve">   </t>
  </si>
  <si>
    <t>노 무 비</t>
  </si>
  <si>
    <t>m2</t>
  </si>
  <si>
    <t>시간당노임산출계수(해상장비:펌프준설선)</t>
  </si>
  <si>
    <t>환율(장비가격10만불이하)</t>
  </si>
  <si>
    <t>환율(유로화)</t>
  </si>
  <si>
    <t>규 격</t>
  </si>
  <si>
    <t>QLINCD</t>
  </si>
  <si>
    <t>QSDR2WON</t>
  </si>
  <si>
    <t>QH33</t>
  </si>
  <si>
    <t>7</t>
  </si>
  <si>
    <t>QLINC2</t>
  </si>
  <si>
    <t>재료비계금액소숫점</t>
  </si>
  <si>
    <t>QDECPEQ</t>
  </si>
  <si>
    <t>QDECCLA</t>
  </si>
  <si>
    <t>노임할증계수(일반구간:주간)</t>
  </si>
  <si>
    <t>(SANG + JUNG + int(KWAN/3))*10^-4</t>
  </si>
  <si>
    <t>QUS2WON2</t>
  </si>
  <si>
    <t>수량</t>
  </si>
  <si>
    <t>노임할증계수(해상장비:주야간)</t>
  </si>
  <si>
    <t>QEQTY3</t>
  </si>
  <si>
    <t>환율(마르크화)</t>
  </si>
  <si>
    <t>QEINC3</t>
  </si>
  <si>
    <t>QUS2WON</t>
  </si>
  <si>
    <t>노임할증계수(터널구간:주야간)</t>
  </si>
  <si>
    <t>경비단가소숫점</t>
  </si>
  <si>
    <t>환율(사용자 환율2)</t>
  </si>
  <si>
    <t>노임할증계수(장대터널:주간)</t>
  </si>
  <si>
    <t>QDECCEQ</t>
  </si>
  <si>
    <t>QCODE</t>
  </si>
  <si>
    <t>QDECPLA</t>
  </si>
  <si>
    <t>QLINCY</t>
  </si>
  <si>
    <t>재 료 비</t>
  </si>
  <si>
    <t>경비금액소숫점</t>
  </si>
  <si>
    <t>시간당노임산출계수(장대터널)</t>
  </si>
  <si>
    <t>중기주야간경비산출계수</t>
  </si>
  <si>
    <t>QEQTY1</t>
  </si>
  <si>
    <t>QVER</t>
  </si>
  <si>
    <t>노임할증계수(장대터널:야간)</t>
  </si>
  <si>
    <t>중기주간경비산출계수</t>
  </si>
  <si>
    <t>전역변수</t>
  </si>
  <si>
    <t>시간당노임산출계수(해상장비:GRAB준설선)</t>
  </si>
  <si>
    <t>형    식</t>
  </si>
  <si>
    <t>QDECCMA</t>
  </si>
  <si>
    <t>QLINC1</t>
  </si>
  <si>
    <t>QMINC2</t>
  </si>
  <si>
    <t>식</t>
  </si>
  <si>
    <t>20kg</t>
  </si>
  <si>
    <t>중기야간할증계수</t>
  </si>
  <si>
    <t>환율(엔화)</t>
  </si>
  <si>
    <t>QLINCC</t>
  </si>
  <si>
    <t>재료비단가소숫점</t>
  </si>
  <si>
    <t>환율(장비가격10만불이상)</t>
  </si>
  <si>
    <t>0</t>
  </si>
  <si>
    <t>재료비금액소숫점</t>
  </si>
  <si>
    <t>재료비할증계수(야간)</t>
  </si>
  <si>
    <t>QLINCE</t>
  </si>
  <si>
    <t>환율(IMF특별인출권)</t>
  </si>
  <si>
    <t>중기전역변수</t>
  </si>
  <si>
    <t>QH2</t>
  </si>
  <si>
    <t>QLINC3</t>
  </si>
  <si>
    <t>QDECPMA</t>
  </si>
  <si>
    <t>노임할증계수(일반구간:야간)</t>
  </si>
  <si>
    <t>QH32</t>
  </si>
  <si>
    <t>인</t>
  </si>
  <si>
    <t>시간당노임산출계수(일반구간)</t>
  </si>
  <si>
    <t>단 위</t>
  </si>
  <si>
    <t>100000000001</t>
  </si>
  <si>
    <t>2</t>
  </si>
  <si>
    <t>노임할증계수(일반구간:주야간)</t>
  </si>
  <si>
    <t>합    계</t>
  </si>
  <si>
    <t>QLINCA</t>
  </si>
  <si>
    <t>숫자</t>
  </si>
  <si>
    <t>m3</t>
  </si>
  <si>
    <t>조경공</t>
  </si>
  <si>
    <t/>
  </si>
  <si>
    <t>원 가 계 산 서</t>
  </si>
  <si>
    <t>비    목</t>
  </si>
  <si>
    <t>금    액</t>
  </si>
  <si>
    <t>구   성   비</t>
  </si>
  <si>
    <t>비  고</t>
  </si>
  <si>
    <t>순공사           원가</t>
  </si>
  <si>
    <t>재료비</t>
  </si>
  <si>
    <t xml:space="preserve">  1. 재    료    비</t>
  </si>
  <si>
    <t>[소 계]</t>
  </si>
  <si>
    <t>노무비</t>
  </si>
  <si>
    <t xml:space="preserve">  2. 직 접 노 무 비</t>
  </si>
  <si>
    <t xml:space="preserve">  3. 간 접 노 무 비</t>
  </si>
  <si>
    <t>경비</t>
  </si>
  <si>
    <t xml:space="preserve">  4. 기  계  경  비</t>
  </si>
  <si>
    <t xml:space="preserve">  5. 산 재 보 험 료</t>
  </si>
  <si>
    <t>노무비 x 3.7%</t>
  </si>
  <si>
    <t xml:space="preserve">  6. 고 용 보 험 료</t>
  </si>
  <si>
    <t>노무비 x 1.01%</t>
  </si>
  <si>
    <t xml:space="preserve">  7. 건 강 보 험 료</t>
  </si>
  <si>
    <t xml:space="preserve">  8. 노인장기요양보험료</t>
  </si>
  <si>
    <t xml:space="preserve">  9. 연 금 보 험 료</t>
  </si>
  <si>
    <t>직접노무비 x 4.5%</t>
  </si>
  <si>
    <t xml:space="preserve">  10. 퇴직공제부금비</t>
  </si>
  <si>
    <t>직접노무비 x 2.3%</t>
  </si>
  <si>
    <t xml:space="preserve">  11. 건설기계 대여대금 지급보증서 발급금액</t>
  </si>
  <si>
    <t>[재료비+직접노무비+기계경비] x 0.18%</t>
  </si>
  <si>
    <t xml:space="preserve">  12. 산업안전보건관리비</t>
  </si>
  <si>
    <t>[재료비+직접노무비] x 1.85%</t>
  </si>
  <si>
    <t>순공사원가</t>
  </si>
  <si>
    <t>[재료비+직.노+간.노+경비]</t>
  </si>
  <si>
    <t xml:space="preserve">[순공사원가] x 6% </t>
  </si>
  <si>
    <t>총공사원가</t>
  </si>
  <si>
    <t>[순공사원가+일반관리비]</t>
  </si>
  <si>
    <t>공급가액(공사비)</t>
  </si>
  <si>
    <t>[공급가액] x 10%</t>
  </si>
  <si>
    <t>[공급가액+부가가치세]</t>
  </si>
  <si>
    <t>주</t>
  </si>
  <si>
    <t>1. 식재공사</t>
  </si>
  <si>
    <t>H2.0XW0.6</t>
  </si>
  <si>
    <t>10cm</t>
  </si>
  <si>
    <t>본</t>
  </si>
  <si>
    <t>세덤류(album,spurium,reflexum 등)</t>
  </si>
  <si>
    <t>8cm</t>
  </si>
  <si>
    <t>배수판</t>
  </si>
  <si>
    <t>배수판설치</t>
  </si>
  <si>
    <t xml:space="preserve">  13. 기  타  경  비</t>
  </si>
  <si>
    <t>14. 일 반 관 리 비</t>
  </si>
  <si>
    <t>15. 이             윤</t>
  </si>
  <si>
    <t xml:space="preserve">[노무비+경비+일반관리비] x 10% </t>
  </si>
  <si>
    <t>16. 부 가 가 치 세</t>
  </si>
  <si>
    <t>수고식재</t>
  </si>
  <si>
    <t>H1.6~2.0m</t>
  </si>
  <si>
    <t>블루엔젤</t>
  </si>
  <si>
    <t>0.3미만</t>
  </si>
  <si>
    <t>초화류식재(보통)</t>
  </si>
  <si>
    <t>수호초</t>
  </si>
  <si>
    <t>구절초</t>
  </si>
  <si>
    <t>꽃잔디</t>
  </si>
  <si>
    <t>1.05</t>
  </si>
  <si>
    <t>2. 식재기반시설</t>
  </si>
  <si>
    <t>내   역   서</t>
  </si>
  <si>
    <t>m3</t>
  </si>
  <si>
    <t>토양개량제</t>
  </si>
  <si>
    <t>육성용</t>
  </si>
  <si>
    <t>1</t>
  </si>
  <si>
    <t>작업반장</t>
  </si>
  <si>
    <t>성토량(조경)</t>
  </si>
  <si>
    <t>인공토:보통토사(1:1)</t>
  </si>
  <si>
    <t>l</t>
  </si>
  <si>
    <t>T=30, 부직포 포함</t>
  </si>
  <si>
    <t>지오텍스타일</t>
  </si>
  <si>
    <t>300g/m2</t>
  </si>
  <si>
    <t>T=30</t>
  </si>
  <si>
    <t>매</t>
  </si>
  <si>
    <t>혼합토 포설 및 다짐</t>
  </si>
  <si>
    <t>마사토</t>
  </si>
  <si>
    <t>유기질 토양개량제</t>
  </si>
  <si>
    <t>포</t>
  </si>
  <si>
    <t>50</t>
  </si>
  <si>
    <t>식</t>
  </si>
  <si>
    <t>960</t>
  </si>
  <si>
    <t>혼합토, 수목 및 자재 인양</t>
  </si>
  <si>
    <t>▣ 공 사 명 : 분당 서현 청소년수련관 옥상 조경 공사</t>
  </si>
  <si>
    <t xml:space="preserve"> 분당 서현 청소년수련관 옥상 조경 공사</t>
  </si>
  <si>
    <t>일 위 대 가 목 록</t>
  </si>
  <si>
    <t>일 위대 가 표</t>
  </si>
  <si>
    <t>견적</t>
  </si>
  <si>
    <t>직접노무비 x 3.545%</t>
  </si>
  <si>
    <t>건강보험료 x 12.81%</t>
  </si>
  <si>
    <t>H230, 경계재용</t>
  </si>
  <si>
    <t>M</t>
  </si>
  <si>
    <t>L100xH50</t>
  </si>
  <si>
    <t>EA</t>
  </si>
  <si>
    <t>표준품셈 8-3-1 잡철물 제작 및 설치('07, '22년 보완)</t>
  </si>
  <si>
    <t>ton</t>
  </si>
  <si>
    <t>3/8"x100</t>
  </si>
  <si>
    <t>H30기준</t>
  </si>
  <si>
    <t>자재조서</t>
  </si>
  <si>
    <t>코    드</t>
  </si>
  <si>
    <t>명    칭</t>
  </si>
  <si>
    <t>적용단가</t>
  </si>
  <si>
    <t>물가정보</t>
  </si>
  <si>
    <t>거래가격</t>
  </si>
  <si>
    <t>물가자료</t>
  </si>
  <si>
    <t>유통물가</t>
  </si>
  <si>
    <t>견적단가</t>
  </si>
  <si>
    <t>202001</t>
  </si>
  <si>
    <t>단가</t>
  </si>
  <si>
    <t>Page</t>
  </si>
  <si>
    <t>1</t>
  </si>
  <si>
    <t>루프엣지</t>
  </si>
  <si>
    <t xml:space="preserve">M     </t>
  </si>
  <si>
    <t>M2020120432</t>
  </si>
  <si>
    <t>M2020120493</t>
  </si>
  <si>
    <t>연결플레이트</t>
  </si>
  <si>
    <t xml:space="preserve">EA    </t>
  </si>
  <si>
    <t>87300057131</t>
  </si>
  <si>
    <t>M2505003</t>
  </si>
  <si>
    <t>M2020120494</t>
  </si>
  <si>
    <t>루프엣지(옥상용) 코너부</t>
  </si>
  <si>
    <t>361</t>
  </si>
  <si>
    <t>M9342010</t>
  </si>
  <si>
    <t>에폭시 접착제</t>
  </si>
  <si>
    <t xml:space="preserve">KG    </t>
  </si>
  <si>
    <t>650</t>
  </si>
  <si>
    <t>M9342012</t>
  </si>
  <si>
    <t>에폭시 신너</t>
  </si>
  <si>
    <t xml:space="preserve">L     </t>
  </si>
  <si>
    <t>514</t>
  </si>
  <si>
    <t>M9342014</t>
  </si>
  <si>
    <t>셋트앵커(STS)</t>
  </si>
  <si>
    <t xml:space="preserve"> EA   </t>
  </si>
  <si>
    <t>93</t>
  </si>
  <si>
    <t>노임</t>
  </si>
  <si>
    <t>단    가</t>
  </si>
  <si>
    <t>철    공</t>
  </si>
  <si>
    <t xml:space="preserve">인    </t>
  </si>
  <si>
    <t>도 장 공</t>
  </si>
  <si>
    <t>용 접 공(일 반)</t>
  </si>
  <si>
    <t>(형틀목공 대체)</t>
  </si>
  <si>
    <t xml:space="preserve">   철    공</t>
  </si>
  <si>
    <t xml:space="preserve">   용 접 공(일 반)</t>
  </si>
  <si>
    <t xml:space="preserve">   특별인부</t>
  </si>
  <si>
    <t xml:space="preserve">   보통인부</t>
  </si>
  <si>
    <t>H230, 텃밭용</t>
  </si>
  <si>
    <t>콘크리트벽돌</t>
  </si>
  <si>
    <t>KS 82KG/CM2, 190X90X57, 공사현장차상도</t>
  </si>
  <si>
    <t>조적공</t>
  </si>
  <si>
    <t>기구손료(인건비의 2%)</t>
  </si>
  <si>
    <t>조 적 공</t>
  </si>
  <si>
    <t>기구손료(인건비의 2%)</t>
  </si>
  <si>
    <t xml:space="preserve">   잡재료비(인건비의 2%)</t>
  </si>
  <si>
    <t xml:space="preserve">   기계경비(인건비의 4%)</t>
  </si>
  <si>
    <t>건조시멘트모르타르</t>
  </si>
  <si>
    <t>조적용, 40kg/포</t>
  </si>
  <si>
    <t>kg</t>
  </si>
  <si>
    <t>조적줄눈용, 40kg/포</t>
  </si>
  <si>
    <t>철선</t>
  </si>
  <si>
    <t>#8 (4.0)</t>
  </si>
  <si>
    <t>줄눈공</t>
  </si>
  <si>
    <t>줄 눈 공</t>
  </si>
  <si>
    <t>모래</t>
  </si>
  <si>
    <t>점토벽돌</t>
  </si>
  <si>
    <t>고령토(190X90X57)</t>
  </si>
  <si>
    <t>시멘트(점포상차도)</t>
  </si>
  <si>
    <t>40KG</t>
  </si>
  <si>
    <t>(수도권상차도)</t>
  </si>
  <si>
    <t>(기본형 0.5B 등)</t>
  </si>
  <si>
    <t>방수액</t>
  </si>
  <si>
    <t>급결액 #80</t>
  </si>
  <si>
    <t>50:1</t>
  </si>
  <si>
    <t>방수공</t>
  </si>
  <si>
    <t>방 수 공</t>
  </si>
  <si>
    <t>H650</t>
  </si>
  <si>
    <t>H650</t>
  </si>
  <si>
    <t>콘크리트벽돌쌓기 (토목,조경)</t>
  </si>
  <si>
    <t>점토벽돌일면치장쌓기(건조모르타르 포함, 3.6M 이하, 단열재 무)</t>
  </si>
  <si>
    <t>점토벽돌 옆세워깔기</t>
  </si>
  <si>
    <t>시멘트액체방수(1종)-급결액 포함(토목)</t>
  </si>
  <si>
    <t>루프엣지</t>
  </si>
  <si>
    <t>연결플레이트</t>
  </si>
  <si>
    <t>루프엣지(옥상용) 코너부</t>
  </si>
  <si>
    <t>.현장 가공</t>
  </si>
  <si>
    <t>잡철물 제작 및 설치(현장제작 설치_경량철재)</t>
  </si>
  <si>
    <t>셋트앵커(STS)</t>
  </si>
  <si>
    <t>현장설치(라인성형 및 결합)</t>
  </si>
  <si>
    <t>.6-3-7 알루미늄 폼_셋팅층 ('08년신설, 17년 보완)</t>
  </si>
  <si>
    <t>철    공</t>
  </si>
  <si>
    <t>보통인부</t>
  </si>
  <si>
    <t>0.56</t>
  </si>
  <si>
    <t>0.30</t>
  </si>
  <si>
    <t>H250</t>
  </si>
  <si>
    <t>H250</t>
  </si>
  <si>
    <t>0.16</t>
  </si>
  <si>
    <t>(1.0B, 3.6m이하)</t>
  </si>
  <si>
    <t>모르터 배합(1:3)</t>
  </si>
  <si>
    <t>(기본형 0.5B)</t>
  </si>
  <si>
    <t>플랜트</t>
  </si>
  <si>
    <t>18.2</t>
  </si>
  <si>
    <t>No.2 블루엔젤 식재</t>
  </si>
  <si>
    <t>D50, PVC관, L350</t>
  </si>
  <si>
    <t>D50, PVC관, L350</t>
  </si>
  <si>
    <t>개소</t>
  </si>
  <si>
    <t>개소</t>
  </si>
  <si>
    <t>35</t>
  </si>
  <si>
    <t>2</t>
  </si>
  <si>
    <t>16</t>
  </si>
  <si>
    <t>PVC관</t>
  </si>
  <si>
    <t>D50</t>
  </si>
  <si>
    <t>0.35</t>
  </si>
  <si>
    <t>배관공</t>
  </si>
  <si>
    <t>0.0147</t>
  </si>
  <si>
    <t>인</t>
  </si>
  <si>
    <t>배 관 공</t>
  </si>
  <si>
    <t>배수용 관통 슬리브</t>
  </si>
  <si>
    <t>120.7</t>
  </si>
  <si>
    <t>49.2</t>
  </si>
  <si>
    <t>회</t>
  </si>
  <si>
    <t>H0.6XW0.4</t>
  </si>
  <si>
    <t>황금측백</t>
  </si>
  <si>
    <t>견적가</t>
  </si>
  <si>
    <t>(H1.0m-이하)</t>
  </si>
  <si>
    <t>7치포트 이상</t>
  </si>
  <si>
    <t>사초류</t>
  </si>
  <si>
    <t>LH단가</t>
  </si>
  <si>
    <t>억새</t>
  </si>
  <si>
    <t>H1.0m 이하</t>
  </si>
  <si>
    <t>0.07</t>
  </si>
  <si>
    <t>0.06</t>
  </si>
  <si>
    <t>황금측백 식재</t>
  </si>
  <si>
    <t>30</t>
  </si>
  <si>
    <t>사초류 식재</t>
  </si>
  <si>
    <t>70</t>
  </si>
  <si>
    <t>억새 식재</t>
  </si>
  <si>
    <t>90</t>
  </si>
  <si>
    <t>No.1 황금측백 식재</t>
  </si>
  <si>
    <t>No.14 플랜트</t>
  </si>
  <si>
    <t>No.18 수고식재</t>
  </si>
  <si>
    <t>자재조서</t>
  </si>
  <si>
    <t>노임단가</t>
  </si>
  <si>
    <t>제18호표</t>
  </si>
  <si>
    <t>제19호표</t>
  </si>
  <si>
    <t>제20호표</t>
  </si>
  <si>
    <t>제21호표</t>
  </si>
  <si>
    <t>제24호표</t>
  </si>
  <si>
    <t>15</t>
  </si>
  <si>
    <t>1000</t>
  </si>
  <si>
    <t>No.3 공조팝 식재</t>
  </si>
  <si>
    <t>H0.6XW0.3</t>
  </si>
  <si>
    <t>공조팝</t>
  </si>
  <si>
    <t>관목군식 식재</t>
  </si>
  <si>
    <t>H0.3m~0.7m</t>
  </si>
  <si>
    <t>H0.3~0.7m</t>
  </si>
  <si>
    <t>조 경 공</t>
  </si>
  <si>
    <t>0.01</t>
  </si>
  <si>
    <t>0.003</t>
  </si>
  <si>
    <t>공조팝 식재</t>
  </si>
  <si>
    <t>No.4 사초류 식재</t>
  </si>
  <si>
    <t>No.5 억새 식재</t>
  </si>
  <si>
    <t>No.6 수호초 식재</t>
  </si>
  <si>
    <t>No.7 구절초 식재</t>
  </si>
  <si>
    <t>No.8 지면패랭이(꽃잔디) 식재</t>
  </si>
  <si>
    <t>No.9 세덤류(album,spurium,reflexum 등)</t>
  </si>
  <si>
    <t>No.10 배수판설치</t>
  </si>
  <si>
    <t>No.11 혼합토 포설 및 다짐</t>
  </si>
  <si>
    <t>No.12 유기질 토양걔량제</t>
  </si>
  <si>
    <t>No.13 루프엣지</t>
  </si>
  <si>
    <t>No.15 플랜트</t>
  </si>
  <si>
    <t>No.16 배수용 관통 슬리브</t>
  </si>
  <si>
    <t>No.17 혼합토, 수목 및 자재 인양</t>
  </si>
  <si>
    <t>No.19 수고식재</t>
  </si>
  <si>
    <t>No.20 관목군식식재</t>
  </si>
  <si>
    <t>No.21 초화류식재(보통)</t>
  </si>
  <si>
    <t>No.22 잡철물 제작 및 설치(현장제작 설치_경량철재)</t>
  </si>
  <si>
    <t>No.23 콘크리트벽돌쌓기 (토목,조경)</t>
  </si>
  <si>
    <t>No.24 점토벽돌일면치장쌓기(건조모르타르 포함, 3.6M 이하, 단열재 무)</t>
  </si>
  <si>
    <t>No.25 점토벽돌 옆세워깔기</t>
  </si>
  <si>
    <t>No.26 시멘트액체방수(1종)-급결액 포함(토목)</t>
  </si>
  <si>
    <t>No.27 모르터 배합(1:3)</t>
  </si>
  <si>
    <t>제22호표</t>
  </si>
  <si>
    <t>제23호표</t>
  </si>
  <si>
    <t>제25호표</t>
  </si>
  <si>
    <t>제26호표</t>
  </si>
  <si>
    <t>제27호표</t>
  </si>
  <si>
    <t>200</t>
  </si>
  <si>
    <t>식재</t>
  </si>
  <si>
    <t>블루엔젤 식재</t>
  </si>
  <si>
    <t>H2.0XW0.6</t>
  </si>
  <si>
    <t>수호초 식재</t>
  </si>
  <si>
    <t>10cm</t>
  </si>
  <si>
    <t>구절초 식재</t>
  </si>
  <si>
    <t>지면패랭이(꽃잔디) 식재</t>
  </si>
  <si>
    <t>세덤류(album,spurium,reflexum 등)</t>
  </si>
  <si>
    <t>천 단위 절사</t>
  </si>
  <si>
    <t>직접노무비 x 13.7%</t>
  </si>
  <si>
    <t>[재료비+노무비] x 6.4%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</si>
</sst>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General;\-General\,&quot;&quot;;@"/>
    <numFmt numFmtId="180" formatCode="#,##0.00####;\-#,##0.00####;@"/>
    <numFmt numFmtId="181" formatCode="#,###.000;\-#,###.000;&quot;&quot;;@"/>
    <numFmt numFmtId="182" formatCode="#,###.00;\-#,###.00;&quot;&quot;;@"/>
    <numFmt numFmtId="183" formatCode="#,###;\-#,###;&quot;&quot;;@"/>
    <numFmt numFmtId="184" formatCode="_(* #,##0_);_(* \(#,##0\);_(* &quot;-&quot;??_);_(@_)"/>
    <numFmt numFmtId="185" formatCode="_-* #,##0_-;\-* #,##0_-;_-* &quot;-&quot;??_-;_-@_-"/>
    <numFmt numFmtId="186" formatCode="_-* #,##0.0_-;\-* #,##0.0_-;_-* &quot;-&quot;?_-;_-@_-"/>
    <numFmt numFmtId="187" formatCode="#,###.0;\-#,###.0;&quot;&quot;;@"/>
    <numFmt numFmtId="188" formatCode="_(* #,##0.000_);_(* \(#,##0.000\);_(* &quot;-&quot;??_);_(@_)"/>
    <numFmt numFmtId="189" formatCode="0.0%"/>
    <numFmt numFmtId="190" formatCode="#,##0_ "/>
    <numFmt numFmtId="191" formatCode="#,###;\-#,###;#;"/>
    <numFmt numFmtId="192" formatCode="#,##0.0"/>
    <numFmt numFmtId="193" formatCode="#,##0.00#"/>
    <numFmt numFmtId="194" formatCode="0.000%"/>
    <numFmt numFmtId="195" formatCode="#,##0.00#;\-#,##0.00#;#"/>
    <numFmt numFmtId="196" formatCode="#,##0.0000000_ "/>
    <numFmt numFmtId="197" formatCode="#,##0.000000_ "/>
    <numFmt numFmtId="198" formatCode="#,##0.00000_ "/>
    <numFmt numFmtId="199" formatCode="#,##0.0000_ "/>
    <numFmt numFmtId="200" formatCode="#,##0.000_ "/>
    <numFmt numFmtId="201" formatCode="#,##0.00_ "/>
    <numFmt numFmtId="202" formatCode="#,##0_);\(#,##0\)"/>
    <numFmt numFmtId="203" formatCode="mm&quot;월&quot;\ dd&quot;일&quot;"/>
    <numFmt numFmtId="204" formatCode="yyyy&quot;년&quot;\ m&quot;월&quot;\ d&quot;일&quot;;@"/>
    <numFmt numFmtId="205" formatCode="#,##0_);[Red]\(#,##0\)"/>
    <numFmt numFmtId="206" formatCode="General&quot;&quot;"/>
    <numFmt numFmtId="207" formatCode="General&quot;- 좋은 하루 되세요 -&quot;"/>
    <numFmt numFmtId="208" formatCode="#,##0,"/>
    <numFmt numFmtId="209" formatCode="0_);\(0\)"/>
    <numFmt numFmtId="210" formatCode="&quot;조정율(&quot;0.000&quot;%)&quot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77">
    <font>
      <sz val="8"/>
      <color indexed="8"/>
      <name val="굴림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8"/>
      <name val="굴림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8"/>
      <name val="굴림체"/>
      <family val="3"/>
    </font>
    <font>
      <sz val="11"/>
      <name val="돋움"/>
      <family val="3"/>
    </font>
    <font>
      <b/>
      <u val="single"/>
      <sz val="28"/>
      <name val="굴림"/>
      <family val="3"/>
    </font>
    <font>
      <sz val="12"/>
      <name val="굴림"/>
      <family val="3"/>
    </font>
    <font>
      <b/>
      <sz val="13"/>
      <name val="굴림"/>
      <family val="3"/>
    </font>
    <font>
      <b/>
      <u val="single"/>
      <sz val="13"/>
      <name val="굴림"/>
      <family val="3"/>
    </font>
    <font>
      <b/>
      <u val="single"/>
      <sz val="14"/>
      <name val="굴림"/>
      <family val="3"/>
    </font>
    <font>
      <b/>
      <u val="single"/>
      <sz val="11"/>
      <name val="굴림"/>
      <family val="3"/>
    </font>
    <font>
      <b/>
      <sz val="13"/>
      <color indexed="8"/>
      <name val="굴림"/>
      <family val="3"/>
    </font>
    <font>
      <b/>
      <u val="singleAccounting"/>
      <sz val="13"/>
      <name val="굴림"/>
      <family val="3"/>
    </font>
    <font>
      <b/>
      <sz val="14"/>
      <name val="굴림"/>
      <family val="3"/>
    </font>
    <font>
      <sz val="14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"/>
      <color indexed="25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"/>
      <color indexed="30"/>
      <name val="굴림"/>
      <family val="3"/>
    </font>
    <font>
      <sz val="9"/>
      <name val="맑은 고딕"/>
      <family val="3"/>
    </font>
    <font>
      <b/>
      <sz val="9"/>
      <name val="맑은 고딕"/>
      <family val="3"/>
    </font>
    <font>
      <sz val="9"/>
      <color indexed="10"/>
      <name val="굴림체"/>
      <family val="3"/>
    </font>
    <font>
      <sz val="7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u val="single"/>
      <sz val="8"/>
      <color indexed="30"/>
      <name val="맑은 고딕"/>
      <family val="3"/>
    </font>
    <font>
      <u val="single"/>
      <sz val="8"/>
      <color indexed="12"/>
      <name val="맑은 고딕"/>
      <family val="3"/>
    </font>
    <font>
      <b/>
      <sz val="13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"/>
      <color theme="10"/>
      <name val="굴림"/>
      <family val="3"/>
    </font>
    <font>
      <sz val="9"/>
      <name val="Calibri"/>
      <family val="3"/>
    </font>
    <font>
      <b/>
      <sz val="9"/>
      <name val="Calibri"/>
      <family val="3"/>
    </font>
    <font>
      <sz val="9"/>
      <color rgb="FFFF0000"/>
      <name val="굴림체"/>
      <family val="3"/>
    </font>
    <font>
      <sz val="7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  <font>
      <u val="single"/>
      <sz val="8"/>
      <color indexed="30"/>
      <name val="Calibri"/>
      <family val="3"/>
    </font>
    <font>
      <u val="single"/>
      <sz val="8"/>
      <color indexed="12"/>
      <name val="Calibri"/>
      <family val="3"/>
    </font>
    <font>
      <b/>
      <sz val="13"/>
      <name val="Calibri"/>
      <family val="3"/>
    </font>
    <font>
      <b/>
      <sz val="16"/>
      <color indexed="8"/>
      <name val="Calibri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7" fontId="4" fillId="0" borderId="0">
      <alignment/>
      <protection/>
    </xf>
    <xf numFmtId="43" fontId="4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0" borderId="0">
      <alignment vertical="center"/>
      <protection/>
    </xf>
    <xf numFmtId="0" fontId="7" fillId="0" borderId="0">
      <alignment vertical="center"/>
      <protection/>
    </xf>
    <xf numFmtId="0" fontId="6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33" borderId="14" xfId="0" applyNumberFormat="1" applyFill="1" applyBorder="1" applyAlignment="1">
      <alignment horizontal="center" vertical="center"/>
    </xf>
    <xf numFmtId="179" fontId="0" fillId="33" borderId="15" xfId="0" applyNumberFormat="1" applyFill="1" applyBorder="1" applyAlignment="1">
      <alignment horizontal="center" vertical="center"/>
    </xf>
    <xf numFmtId="179" fontId="0" fillId="33" borderId="16" xfId="0" applyNumberFormat="1" applyFill="1" applyBorder="1" applyAlignment="1">
      <alignment horizontal="center" vertical="center"/>
    </xf>
    <xf numFmtId="179" fontId="0" fillId="33" borderId="16" xfId="0" applyNumberFormat="1" applyFill="1" applyBorder="1" applyAlignment="1">
      <alignment horizontal="center" vertical="center" wrapText="1"/>
    </xf>
    <xf numFmtId="179" fontId="0" fillId="0" borderId="17" xfId="0" applyNumberFormat="1" applyBorder="1" applyAlignment="1">
      <alignment vertical="center" wrapText="1"/>
    </xf>
    <xf numFmtId="179" fontId="0" fillId="0" borderId="18" xfId="0" applyNumberFormat="1" applyBorder="1" applyAlignment="1">
      <alignment vertical="center" wrapText="1"/>
    </xf>
    <xf numFmtId="179" fontId="0" fillId="33" borderId="15" xfId="0" applyNumberFormat="1" applyFill="1" applyBorder="1" applyAlignment="1">
      <alignment horizontal="center" vertical="center" wrapText="1"/>
    </xf>
    <xf numFmtId="0" fontId="67" fillId="0" borderId="0" xfId="66" applyFont="1">
      <alignment/>
      <protection/>
    </xf>
    <xf numFmtId="184" fontId="4" fillId="0" borderId="0" xfId="49" applyNumberFormat="1">
      <alignment/>
      <protection/>
    </xf>
    <xf numFmtId="41" fontId="68" fillId="34" borderId="0" xfId="66" applyNumberFormat="1" applyFont="1" applyFill="1" applyAlignment="1">
      <alignment vertical="center"/>
      <protection/>
    </xf>
    <xf numFmtId="0" fontId="68" fillId="0" borderId="0" xfId="66" applyFont="1">
      <alignment/>
      <protection/>
    </xf>
    <xf numFmtId="41" fontId="68" fillId="0" borderId="19" xfId="66" applyNumberFormat="1" applyFont="1" applyBorder="1" applyAlignment="1">
      <alignment vertical="center"/>
      <protection/>
    </xf>
    <xf numFmtId="41" fontId="67" fillId="0" borderId="19" xfId="66" applyNumberFormat="1" applyFont="1" applyBorder="1" applyAlignment="1">
      <alignment horizontal="center" vertical="center"/>
      <protection/>
    </xf>
    <xf numFmtId="0" fontId="67" fillId="0" borderId="20" xfId="66" applyFont="1" applyBorder="1" applyAlignment="1">
      <alignment horizontal="left" vertical="center"/>
      <protection/>
    </xf>
    <xf numFmtId="41" fontId="67" fillId="0" borderId="21" xfId="66" applyNumberFormat="1" applyFont="1" applyBorder="1" applyAlignment="1">
      <alignment horizontal="center" vertical="center"/>
      <protection/>
    </xf>
    <xf numFmtId="41" fontId="67" fillId="0" borderId="22" xfId="66" applyNumberFormat="1" applyFont="1" applyBorder="1" applyAlignment="1">
      <alignment vertical="center"/>
      <protection/>
    </xf>
    <xf numFmtId="41" fontId="67" fillId="0" borderId="22" xfId="66" applyNumberFormat="1" applyFont="1" applyBorder="1" applyAlignment="1">
      <alignment horizontal="center" vertical="center"/>
      <protection/>
    </xf>
    <xf numFmtId="0" fontId="67" fillId="0" borderId="23" xfId="66" applyFont="1" applyBorder="1" applyAlignment="1">
      <alignment horizontal="left" vertical="center"/>
      <protection/>
    </xf>
    <xf numFmtId="184" fontId="69" fillId="0" borderId="0" xfId="49" applyNumberFormat="1" applyFont="1">
      <alignment/>
      <protection/>
    </xf>
    <xf numFmtId="41" fontId="68" fillId="0" borderId="22" xfId="66" applyNumberFormat="1" applyFont="1" applyBorder="1" applyAlignment="1">
      <alignment vertical="center"/>
      <protection/>
    </xf>
    <xf numFmtId="184" fontId="67" fillId="0" borderId="0" xfId="66" applyNumberFormat="1" applyFont="1">
      <alignment/>
      <protection/>
    </xf>
    <xf numFmtId="0" fontId="70" fillId="0" borderId="23" xfId="66" applyFont="1" applyBorder="1" applyAlignment="1">
      <alignment horizontal="right" vertical="center" shrinkToFit="1"/>
      <protection/>
    </xf>
    <xf numFmtId="41" fontId="67" fillId="0" borderId="22" xfId="66" applyNumberFormat="1" applyFont="1" applyBorder="1" applyAlignment="1">
      <alignment vertical="center" wrapText="1"/>
      <protection/>
    </xf>
    <xf numFmtId="41" fontId="67" fillId="34" borderId="22" xfId="66" applyNumberFormat="1" applyFont="1" applyFill="1" applyBorder="1" applyAlignment="1">
      <alignment vertical="center"/>
      <protection/>
    </xf>
    <xf numFmtId="0" fontId="67" fillId="0" borderId="23" xfId="66" applyFont="1" applyBorder="1" applyAlignment="1">
      <alignment horizontal="left" vertical="center" shrinkToFit="1"/>
      <protection/>
    </xf>
    <xf numFmtId="41" fontId="67" fillId="0" borderId="0" xfId="66" applyNumberFormat="1" applyFont="1">
      <alignment/>
      <protection/>
    </xf>
    <xf numFmtId="41" fontId="67" fillId="0" borderId="22" xfId="66" applyNumberFormat="1" applyFont="1" applyBorder="1" applyAlignment="1">
      <alignment horizontal="center" vertical="center" shrinkToFit="1"/>
      <protection/>
    </xf>
    <xf numFmtId="41" fontId="68" fillId="0" borderId="22" xfId="66" applyNumberFormat="1" applyFont="1" applyBorder="1" applyAlignment="1">
      <alignment horizontal="center" vertical="center"/>
      <protection/>
    </xf>
    <xf numFmtId="0" fontId="68" fillId="0" borderId="23" xfId="66" applyFont="1" applyBorder="1" applyAlignment="1">
      <alignment horizontal="left" vertical="center"/>
      <protection/>
    </xf>
    <xf numFmtId="0" fontId="67" fillId="0" borderId="0" xfId="66" applyFont="1" quotePrefix="1">
      <alignment/>
      <protection/>
    </xf>
    <xf numFmtId="41" fontId="67" fillId="34" borderId="24" xfId="66" applyNumberFormat="1" applyFont="1" applyFill="1" applyBorder="1" applyAlignment="1">
      <alignment horizontal="left" vertical="center"/>
      <protection/>
    </xf>
    <xf numFmtId="41" fontId="67" fillId="34" borderId="25" xfId="66" applyNumberFormat="1" applyFont="1" applyFill="1" applyBorder="1" applyAlignment="1">
      <alignment horizontal="left" vertical="center"/>
      <protection/>
    </xf>
    <xf numFmtId="41" fontId="67" fillId="34" borderId="26" xfId="66" applyNumberFormat="1" applyFont="1" applyFill="1" applyBorder="1" applyAlignment="1">
      <alignment horizontal="left" vertical="center"/>
      <protection/>
    </xf>
    <xf numFmtId="0" fontId="67" fillId="0" borderId="27" xfId="66" applyFont="1" applyBorder="1" applyAlignment="1">
      <alignment vertical="center"/>
      <protection/>
    </xf>
    <xf numFmtId="41" fontId="68" fillId="0" borderId="28" xfId="66" applyNumberFormat="1" applyFont="1" applyBorder="1" applyAlignment="1">
      <alignment vertical="center"/>
      <protection/>
    </xf>
    <xf numFmtId="41" fontId="68" fillId="0" borderId="28" xfId="66" applyNumberFormat="1" applyFont="1" applyBorder="1" applyAlignment="1">
      <alignment horizontal="center" vertical="center"/>
      <protection/>
    </xf>
    <xf numFmtId="0" fontId="68" fillId="0" borderId="29" xfId="66" applyFont="1" applyBorder="1" applyAlignment="1">
      <alignment vertical="center"/>
      <protection/>
    </xf>
    <xf numFmtId="0" fontId="48" fillId="0" borderId="0" xfId="68">
      <alignment vertical="center"/>
      <protection/>
    </xf>
    <xf numFmtId="41" fontId="67" fillId="0" borderId="0" xfId="66" applyNumberFormat="1" applyFont="1" applyAlignment="1">
      <alignment vertical="center"/>
      <protection/>
    </xf>
    <xf numFmtId="41" fontId="67" fillId="0" borderId="0" xfId="66" applyNumberFormat="1" applyFont="1" applyAlignment="1">
      <alignment horizontal="center" vertical="center"/>
      <protection/>
    </xf>
    <xf numFmtId="184" fontId="71" fillId="0" borderId="0" xfId="49" applyNumberFormat="1" applyFont="1" applyAlignment="1">
      <alignment vertical="center"/>
      <protection/>
    </xf>
    <xf numFmtId="185" fontId="67" fillId="0" borderId="0" xfId="66" applyNumberFormat="1" applyFont="1" applyAlignment="1">
      <alignment vertical="center"/>
      <protection/>
    </xf>
    <xf numFmtId="3" fontId="67" fillId="0" borderId="0" xfId="66" applyNumberFormat="1" applyFont="1">
      <alignment/>
      <protection/>
    </xf>
    <xf numFmtId="0" fontId="72" fillId="0" borderId="0" xfId="0" applyFont="1" applyAlignment="1">
      <alignment/>
    </xf>
    <xf numFmtId="179" fontId="72" fillId="33" borderId="10" xfId="0" applyNumberFormat="1" applyFont="1" applyFill="1" applyBorder="1" applyAlignment="1">
      <alignment horizontal="center" vertical="center"/>
    </xf>
    <xf numFmtId="179" fontId="72" fillId="0" borderId="10" xfId="0" applyNumberFormat="1" applyFont="1" applyBorder="1" applyAlignment="1">
      <alignment vertical="center"/>
    </xf>
    <xf numFmtId="0" fontId="72" fillId="0" borderId="10" xfId="0" applyFont="1" applyBorder="1" applyAlignment="1">
      <alignment/>
    </xf>
    <xf numFmtId="183" fontId="72" fillId="0" borderId="10" xfId="0" applyNumberFormat="1" applyFont="1" applyBorder="1" applyAlignment="1">
      <alignment vertical="center"/>
    </xf>
    <xf numFmtId="179" fontId="72" fillId="0" borderId="10" xfId="0" applyNumberFormat="1" applyFont="1" applyBorder="1" applyAlignment="1">
      <alignment vertical="center" wrapText="1"/>
    </xf>
    <xf numFmtId="0" fontId="73" fillId="0" borderId="0" xfId="0" applyFont="1" applyAlignment="1">
      <alignment vertical="center"/>
    </xf>
    <xf numFmtId="179" fontId="72" fillId="0" borderId="10" xfId="0" applyNumberFormat="1" applyFont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center" wrapText="1"/>
    </xf>
    <xf numFmtId="179" fontId="72" fillId="0" borderId="10" xfId="0" applyNumberFormat="1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179" fontId="72" fillId="33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2" fillId="0" borderId="10" xfId="0" applyFont="1" applyBorder="1" applyAlignment="1">
      <alignment horizontal="center"/>
    </xf>
    <xf numFmtId="183" fontId="72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79" fontId="72" fillId="33" borderId="13" xfId="0" applyNumberFormat="1" applyFont="1" applyFill="1" applyBorder="1" applyAlignment="1">
      <alignment horizontal="center" vertical="center"/>
    </xf>
    <xf numFmtId="179" fontId="72" fillId="33" borderId="18" xfId="0" applyNumberFormat="1" applyFont="1" applyFill="1" applyBorder="1" applyAlignment="1">
      <alignment horizontal="center" vertical="center"/>
    </xf>
    <xf numFmtId="179" fontId="72" fillId="0" borderId="11" xfId="0" applyNumberFormat="1" applyFont="1" applyBorder="1" applyAlignment="1">
      <alignment vertical="center"/>
    </xf>
    <xf numFmtId="179" fontId="72" fillId="0" borderId="17" xfId="0" applyNumberFormat="1" applyFont="1" applyBorder="1" applyAlignment="1">
      <alignment vertical="center"/>
    </xf>
    <xf numFmtId="179" fontId="72" fillId="0" borderId="12" xfId="0" applyNumberFormat="1" applyFont="1" applyBorder="1" applyAlignment="1">
      <alignment vertical="center"/>
    </xf>
    <xf numFmtId="179" fontId="72" fillId="0" borderId="13" xfId="0" applyNumberFormat="1" applyFont="1" applyBorder="1" applyAlignment="1">
      <alignment vertical="center"/>
    </xf>
    <xf numFmtId="183" fontId="72" fillId="0" borderId="13" xfId="0" applyNumberFormat="1" applyFont="1" applyBorder="1" applyAlignment="1">
      <alignment vertical="center"/>
    </xf>
    <xf numFmtId="183" fontId="72" fillId="0" borderId="13" xfId="0" applyNumberFormat="1" applyFont="1" applyBorder="1" applyAlignment="1">
      <alignment horizontal="center" vertical="center"/>
    </xf>
    <xf numFmtId="179" fontId="72" fillId="0" borderId="18" xfId="0" applyNumberFormat="1" applyFont="1" applyBorder="1" applyAlignment="1">
      <alignment vertical="center"/>
    </xf>
    <xf numFmtId="179" fontId="72" fillId="33" borderId="14" xfId="0" applyNumberFormat="1" applyFont="1" applyFill="1" applyBorder="1" applyAlignment="1">
      <alignment horizontal="center" vertical="center"/>
    </xf>
    <xf numFmtId="179" fontId="72" fillId="33" borderId="15" xfId="0" applyNumberFormat="1" applyFont="1" applyFill="1" applyBorder="1" applyAlignment="1">
      <alignment horizontal="center" vertical="center"/>
    </xf>
    <xf numFmtId="179" fontId="72" fillId="33" borderId="16" xfId="0" applyNumberFormat="1" applyFont="1" applyFill="1" applyBorder="1" applyAlignment="1">
      <alignment horizontal="center" vertical="center" wrapText="1"/>
    </xf>
    <xf numFmtId="179" fontId="72" fillId="0" borderId="17" xfId="0" applyNumberFormat="1" applyFont="1" applyBorder="1" applyAlignment="1">
      <alignment vertical="center" wrapText="1"/>
    </xf>
    <xf numFmtId="179" fontId="72" fillId="0" borderId="18" xfId="0" applyNumberFormat="1" applyFont="1" applyBorder="1" applyAlignment="1">
      <alignment vertical="center" wrapText="1"/>
    </xf>
    <xf numFmtId="183" fontId="72" fillId="0" borderId="0" xfId="0" applyNumberFormat="1" applyFont="1" applyAlignment="1">
      <alignment/>
    </xf>
    <xf numFmtId="179" fontId="72" fillId="0" borderId="13" xfId="0" applyNumberFormat="1" applyFont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center" shrinkToFit="1"/>
    </xf>
    <xf numFmtId="0" fontId="9" fillId="0" borderId="0" xfId="69" applyFont="1">
      <alignment vertical="center"/>
      <protection/>
    </xf>
    <xf numFmtId="0" fontId="9" fillId="34" borderId="0" xfId="69" applyFont="1" applyFill="1">
      <alignment vertical="center"/>
      <protection/>
    </xf>
    <xf numFmtId="0" fontId="9" fillId="0" borderId="0" xfId="69" applyFont="1" applyAlignment="1">
      <alignment horizontal="center" vertical="center"/>
      <protection/>
    </xf>
    <xf numFmtId="0" fontId="9" fillId="34" borderId="0" xfId="69" applyFont="1" applyFill="1" applyAlignment="1">
      <alignment horizontal="center" vertical="center"/>
      <protection/>
    </xf>
    <xf numFmtId="0" fontId="18" fillId="0" borderId="0" xfId="69" applyFont="1">
      <alignment vertical="center"/>
      <protection/>
    </xf>
    <xf numFmtId="0" fontId="18" fillId="34" borderId="0" xfId="69" applyFont="1" applyFill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10" fillId="0" borderId="0" xfId="69" applyFont="1" applyBorder="1">
      <alignment vertical="center"/>
      <protection/>
    </xf>
    <xf numFmtId="0" fontId="11" fillId="0" borderId="0" xfId="69" applyFont="1" applyBorder="1">
      <alignment vertical="center"/>
      <protection/>
    </xf>
    <xf numFmtId="0" fontId="9" fillId="0" borderId="0" xfId="69" applyFont="1" applyBorder="1">
      <alignment vertical="center"/>
      <protection/>
    </xf>
    <xf numFmtId="0" fontId="9" fillId="34" borderId="0" xfId="69" applyFont="1" applyFill="1" applyBorder="1">
      <alignment vertical="center"/>
      <protection/>
    </xf>
    <xf numFmtId="204" fontId="10" fillId="0" borderId="0" xfId="69" applyNumberFormat="1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left" vertical="center"/>
      <protection/>
    </xf>
    <xf numFmtId="0" fontId="17" fillId="0" borderId="0" xfId="69" applyFont="1" applyBorder="1">
      <alignment vertical="center"/>
      <protection/>
    </xf>
    <xf numFmtId="0" fontId="17" fillId="0" borderId="0" xfId="69" applyFont="1" applyBorder="1" applyAlignment="1">
      <alignment horizontal="center" vertical="center" shrinkToFit="1"/>
      <protection/>
    </xf>
    <xf numFmtId="0" fontId="16" fillId="0" borderId="0" xfId="69" applyFont="1" applyBorder="1" applyAlignment="1">
      <alignment horizontal="center" vertical="center"/>
      <protection/>
    </xf>
    <xf numFmtId="41" fontId="17" fillId="0" borderId="0" xfId="51" applyFont="1" applyBorder="1" applyAlignment="1">
      <alignment vertical="center"/>
    </xf>
    <xf numFmtId="205" fontId="17" fillId="34" borderId="0" xfId="51" applyNumberFormat="1" applyFont="1" applyFill="1" applyBorder="1" applyAlignment="1" applyProtection="1">
      <alignment vertical="center"/>
      <protection locked="0"/>
    </xf>
    <xf numFmtId="0" fontId="17" fillId="0" borderId="0" xfId="69" applyFont="1" applyBorder="1" applyAlignment="1">
      <alignment vertical="center" shrinkToFit="1"/>
      <protection/>
    </xf>
    <xf numFmtId="179" fontId="0" fillId="0" borderId="17" xfId="0" applyNumberForma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/>
    </xf>
    <xf numFmtId="41" fontId="67" fillId="34" borderId="24" xfId="66" applyNumberFormat="1" applyFont="1" applyFill="1" applyBorder="1" applyAlignment="1">
      <alignment horizontal="left" vertical="center"/>
      <protection/>
    </xf>
    <xf numFmtId="41" fontId="67" fillId="34" borderId="25" xfId="66" applyNumberFormat="1" applyFont="1" applyFill="1" applyBorder="1" applyAlignment="1">
      <alignment horizontal="left" vertical="center"/>
      <protection/>
    </xf>
    <xf numFmtId="41" fontId="67" fillId="34" borderId="26" xfId="66" applyNumberFormat="1" applyFont="1" applyFill="1" applyBorder="1" applyAlignment="1">
      <alignment horizontal="left" vertical="center"/>
      <protection/>
    </xf>
    <xf numFmtId="41" fontId="68" fillId="34" borderId="24" xfId="66" applyNumberFormat="1" applyFont="1" applyFill="1" applyBorder="1" applyAlignment="1">
      <alignment horizontal="center" vertical="center"/>
      <protection/>
    </xf>
    <xf numFmtId="41" fontId="68" fillId="34" borderId="25" xfId="66" applyNumberFormat="1" applyFont="1" applyFill="1" applyBorder="1" applyAlignment="1">
      <alignment horizontal="center" vertical="center"/>
      <protection/>
    </xf>
    <xf numFmtId="41" fontId="68" fillId="34" borderId="26" xfId="66" applyNumberFormat="1" applyFont="1" applyFill="1" applyBorder="1" applyAlignment="1">
      <alignment horizontal="center" vertical="center"/>
      <protection/>
    </xf>
    <xf numFmtId="41" fontId="68" fillId="34" borderId="30" xfId="66" applyNumberFormat="1" applyFont="1" applyFill="1" applyBorder="1" applyAlignment="1">
      <alignment horizontal="center" vertical="center"/>
      <protection/>
    </xf>
    <xf numFmtId="41" fontId="68" fillId="34" borderId="31" xfId="66" applyNumberFormat="1" applyFont="1" applyFill="1" applyBorder="1" applyAlignment="1">
      <alignment horizontal="center" vertical="center"/>
      <protection/>
    </xf>
    <xf numFmtId="41" fontId="68" fillId="34" borderId="32" xfId="66" applyNumberFormat="1" applyFont="1" applyFill="1" applyBorder="1" applyAlignment="1">
      <alignment horizontal="center" vertical="center"/>
      <protection/>
    </xf>
    <xf numFmtId="0" fontId="67" fillId="0" borderId="33" xfId="66" applyFont="1" applyBorder="1" applyAlignment="1">
      <alignment horizontal="center" vertical="center" wrapText="1"/>
      <protection/>
    </xf>
    <xf numFmtId="0" fontId="67" fillId="0" borderId="34" xfId="66" applyFont="1" applyBorder="1" applyAlignment="1">
      <alignment horizontal="center" vertical="center" wrapText="1"/>
      <protection/>
    </xf>
    <xf numFmtId="0" fontId="67" fillId="0" borderId="35" xfId="66" applyFont="1" applyBorder="1" applyAlignment="1">
      <alignment horizontal="center" vertical="center"/>
      <protection/>
    </xf>
    <xf numFmtId="0" fontId="67" fillId="0" borderId="36" xfId="66" applyFont="1" applyBorder="1" applyAlignment="1">
      <alignment horizontal="center" vertical="center"/>
      <protection/>
    </xf>
    <xf numFmtId="0" fontId="67" fillId="0" borderId="37" xfId="66" applyFont="1" applyBorder="1" applyAlignment="1">
      <alignment horizontal="center" vertical="center"/>
      <protection/>
    </xf>
    <xf numFmtId="41" fontId="68" fillId="0" borderId="24" xfId="66" applyNumberFormat="1" applyFont="1" applyBorder="1" applyAlignment="1">
      <alignment horizontal="center" vertical="center"/>
      <protection/>
    </xf>
    <xf numFmtId="41" fontId="68" fillId="0" borderId="25" xfId="66" applyNumberFormat="1" applyFont="1" applyBorder="1" applyAlignment="1">
      <alignment horizontal="center" vertical="center"/>
      <protection/>
    </xf>
    <xf numFmtId="41" fontId="68" fillId="0" borderId="26" xfId="66" applyNumberFormat="1" applyFont="1" applyBorder="1" applyAlignment="1">
      <alignment horizontal="center" vertical="center"/>
      <protection/>
    </xf>
    <xf numFmtId="41" fontId="75" fillId="34" borderId="0" xfId="66" applyNumberFormat="1" applyFont="1" applyFill="1" applyAlignment="1">
      <alignment horizontal="center" vertical="center"/>
      <protection/>
    </xf>
    <xf numFmtId="0" fontId="68" fillId="34" borderId="38" xfId="66" applyFont="1" applyFill="1" applyBorder="1" applyAlignment="1">
      <alignment horizontal="left" vertical="center"/>
      <protection/>
    </xf>
    <xf numFmtId="0" fontId="68" fillId="35" borderId="39" xfId="66" applyFont="1" applyFill="1" applyBorder="1" applyAlignment="1">
      <alignment horizontal="center" vertical="center"/>
      <protection/>
    </xf>
    <xf numFmtId="0" fontId="68" fillId="35" borderId="40" xfId="66" applyFont="1" applyFill="1" applyBorder="1" applyAlignment="1">
      <alignment horizontal="center" vertical="center"/>
      <protection/>
    </xf>
    <xf numFmtId="0" fontId="68" fillId="35" borderId="41" xfId="66" applyFont="1" applyFill="1" applyBorder="1" applyAlignment="1">
      <alignment horizontal="center" vertical="center"/>
      <protection/>
    </xf>
    <xf numFmtId="0" fontId="68" fillId="35" borderId="42" xfId="66" applyFont="1" applyFill="1" applyBorder="1" applyAlignment="1">
      <alignment horizontal="center" vertical="center"/>
      <protection/>
    </xf>
    <xf numFmtId="0" fontId="68" fillId="35" borderId="43" xfId="66" applyFont="1" applyFill="1" applyBorder="1" applyAlignment="1">
      <alignment horizontal="center" vertical="center"/>
      <protection/>
    </xf>
    <xf numFmtId="0" fontId="68" fillId="35" borderId="44" xfId="66" applyFont="1" applyFill="1" applyBorder="1" applyAlignment="1">
      <alignment horizontal="center" vertical="center"/>
      <protection/>
    </xf>
    <xf numFmtId="41" fontId="68" fillId="35" borderId="45" xfId="66" applyNumberFormat="1" applyFont="1" applyFill="1" applyBorder="1" applyAlignment="1">
      <alignment horizontal="center" vertical="center"/>
      <protection/>
    </xf>
    <xf numFmtId="41" fontId="68" fillId="35" borderId="46" xfId="66" applyNumberFormat="1" applyFont="1" applyFill="1" applyBorder="1" applyAlignment="1">
      <alignment horizontal="center" vertical="center"/>
      <protection/>
    </xf>
    <xf numFmtId="41" fontId="68" fillId="35" borderId="47" xfId="66" applyNumberFormat="1" applyFont="1" applyFill="1" applyBorder="1" applyAlignment="1">
      <alignment horizontal="center" vertical="center"/>
      <protection/>
    </xf>
    <xf numFmtId="41" fontId="68" fillId="35" borderId="48" xfId="66" applyNumberFormat="1" applyFont="1" applyFill="1" applyBorder="1" applyAlignment="1">
      <alignment horizontal="center" vertical="center"/>
      <protection/>
    </xf>
    <xf numFmtId="179" fontId="72" fillId="33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79" fontId="72" fillId="0" borderId="49" xfId="0" applyNumberFormat="1" applyFont="1" applyBorder="1" applyAlignment="1">
      <alignment horizontal="left" vertical="center"/>
    </xf>
    <xf numFmtId="179" fontId="72" fillId="0" borderId="50" xfId="0" applyNumberFormat="1" applyFont="1" applyBorder="1" applyAlignment="1">
      <alignment horizontal="left" vertical="center"/>
    </xf>
    <xf numFmtId="179" fontId="72" fillId="33" borderId="10" xfId="0" applyNumberFormat="1" applyFont="1" applyFill="1" applyBorder="1" applyAlignment="1">
      <alignment horizontal="center" vertical="center" wrapText="1"/>
    </xf>
    <xf numFmtId="179" fontId="72" fillId="33" borderId="51" xfId="0" applyNumberFormat="1" applyFont="1" applyFill="1" applyBorder="1" applyAlignment="1">
      <alignment horizontal="center" vertical="center"/>
    </xf>
    <xf numFmtId="179" fontId="72" fillId="33" borderId="52" xfId="0" applyNumberFormat="1" applyFont="1" applyFill="1" applyBorder="1" applyAlignment="1">
      <alignment horizontal="center" vertical="center"/>
    </xf>
    <xf numFmtId="179" fontId="72" fillId="33" borderId="53" xfId="0" applyNumberFormat="1" applyFont="1" applyFill="1" applyBorder="1" applyAlignment="1">
      <alignment horizontal="center" vertical="center"/>
    </xf>
    <xf numFmtId="179" fontId="72" fillId="33" borderId="12" xfId="0" applyNumberFormat="1" applyFont="1" applyFill="1" applyBorder="1" applyAlignment="1">
      <alignment horizontal="center" vertical="center"/>
    </xf>
    <xf numFmtId="179" fontId="72" fillId="33" borderId="13" xfId="0" applyNumberFormat="1" applyFont="1" applyFill="1" applyBorder="1" applyAlignment="1">
      <alignment horizontal="center" vertical="center"/>
    </xf>
    <xf numFmtId="0" fontId="8" fillId="0" borderId="0" xfId="69" applyFont="1" applyBorder="1" applyAlignment="1">
      <alignment horizontal="center" vertical="center"/>
      <protection/>
    </xf>
    <xf numFmtId="204" fontId="12" fillId="0" borderId="0" xfId="69" applyNumberFormat="1" applyFont="1" applyBorder="1" applyAlignment="1">
      <alignment horizontal="center" vertical="center"/>
      <protection/>
    </xf>
    <xf numFmtId="204" fontId="13" fillId="0" borderId="0" xfId="69" applyNumberFormat="1" applyFont="1" applyBorder="1" applyAlignment="1">
      <alignment horizontal="center" vertical="center"/>
      <protection/>
    </xf>
    <xf numFmtId="0" fontId="14" fillId="0" borderId="0" xfId="69" applyFont="1" applyBorder="1" applyAlignment="1">
      <alignment horizontal="left" vertical="center"/>
      <protection/>
    </xf>
    <xf numFmtId="204" fontId="10" fillId="0" borderId="0" xfId="69" applyNumberFormat="1" applyFont="1" applyBorder="1" applyAlignment="1">
      <alignment horizontal="center" vertical="center"/>
      <protection/>
    </xf>
    <xf numFmtId="0" fontId="16" fillId="34" borderId="0" xfId="69" applyFont="1" applyFill="1" applyBorder="1" applyAlignment="1">
      <alignment horizontal="center" vertical="center" wrapText="1"/>
      <protection/>
    </xf>
    <xf numFmtId="0" fontId="16" fillId="34" borderId="0" xfId="69" applyFont="1" applyFill="1" applyBorder="1" applyAlignment="1">
      <alignment horizontal="center" vertical="center"/>
      <protection/>
    </xf>
    <xf numFmtId="41" fontId="15" fillId="0" borderId="0" xfId="69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4" xfId="51"/>
    <cellStyle name="쉼표 [0] 4 2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3" xfId="67"/>
    <cellStyle name="표준 4" xfId="68"/>
    <cellStyle name="표준 6" xfId="69"/>
    <cellStyle name="Hyperlink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6</xdr:col>
      <xdr:colOff>1219200</xdr:colOff>
      <xdr:row>27</xdr:row>
      <xdr:rowOff>200025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8191500" cy="1158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6</xdr:col>
      <xdr:colOff>1228725</xdr:colOff>
      <xdr:row>55</xdr:row>
      <xdr:rowOff>209550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725400"/>
          <a:ext cx="8191500" cy="1158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19050</xdr:rowOff>
    </xdr:from>
    <xdr:to>
      <xdr:col>6</xdr:col>
      <xdr:colOff>1228725</xdr:colOff>
      <xdr:row>83</xdr:row>
      <xdr:rowOff>209550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4993600"/>
          <a:ext cx="8191500" cy="1158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48516;&#45817;%20&#49436;&#54788;%20&#52397;&#49548;&#45380;&#49688;&#47144;&#44288;%20&#50725;&#49345;%20&#51312;&#44221;%20&#44277;&#49324;%20&#49444;&#44228;&#45236;&#50669;&#49436;(2304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내역서"/>
      <sheetName val="일위대가목록"/>
      <sheetName val="일위대가_호표"/>
      <sheetName val="견적서 영광야생화-내역적용(최저단가)"/>
      <sheetName val="견적서(산내들야생화)"/>
      <sheetName val="견적서(지리산야생화)"/>
      <sheetName val="전역변수"/>
      <sheetName val="중기전역변수"/>
    </sheetNames>
    <sheetDataSet>
      <sheetData sheetId="2">
        <row r="15">
          <cell r="H15">
            <v>0</v>
          </cell>
        </row>
        <row r="19">
          <cell r="H19">
            <v>0</v>
          </cell>
        </row>
        <row r="20"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31"/>
  <sheetViews>
    <sheetView tabSelected="1" view="pageBreakPreview" zoomScaleSheetLayoutView="100" zoomScalePageLayoutView="0" workbookViewId="0" topLeftCell="A2">
      <selection activeCell="D28" sqref="D28"/>
    </sheetView>
  </sheetViews>
  <sheetFormatPr defaultColWidth="9.33203125" defaultRowHeight="18" customHeight="1"/>
  <cols>
    <col min="1" max="1" width="9.66015625" style="13" customWidth="1"/>
    <col min="2" max="2" width="9.16015625" style="13" customWidth="1"/>
    <col min="3" max="3" width="42.5" style="13" customWidth="1"/>
    <col min="4" max="4" width="18.83203125" style="13" customWidth="1"/>
    <col min="5" max="5" width="48.5" style="13" customWidth="1"/>
    <col min="6" max="6" width="39.16015625" style="13" customWidth="1"/>
    <col min="7" max="7" width="9.33203125" style="13" customWidth="1"/>
    <col min="8" max="8" width="22.83203125" style="13" bestFit="1" customWidth="1"/>
    <col min="9" max="9" width="19.33203125" style="14" bestFit="1" customWidth="1"/>
    <col min="10" max="10" width="9.33203125" style="13" customWidth="1"/>
    <col min="11" max="11" width="15.5" style="13" bestFit="1" customWidth="1"/>
    <col min="12" max="16384" width="9.33203125" style="13" customWidth="1"/>
  </cols>
  <sheetData>
    <row r="1" spans="1:6" ht="30" customHeight="1">
      <c r="A1" s="123" t="s">
        <v>130</v>
      </c>
      <c r="B1" s="123"/>
      <c r="C1" s="123"/>
      <c r="D1" s="123"/>
      <c r="E1" s="123"/>
      <c r="F1" s="123"/>
    </row>
    <row r="2" spans="1:9" s="16" customFormat="1" ht="19.5" customHeight="1" thickBot="1">
      <c r="A2" s="124" t="s">
        <v>212</v>
      </c>
      <c r="B2" s="124"/>
      <c r="C2" s="124"/>
      <c r="D2" s="124"/>
      <c r="E2" s="15"/>
      <c r="F2" s="15"/>
      <c r="I2" s="14"/>
    </row>
    <row r="3" spans="1:6" ht="19.5" customHeight="1">
      <c r="A3" s="125" t="s">
        <v>131</v>
      </c>
      <c r="B3" s="126"/>
      <c r="C3" s="127"/>
      <c r="D3" s="131" t="s">
        <v>132</v>
      </c>
      <c r="E3" s="131" t="s">
        <v>133</v>
      </c>
      <c r="F3" s="133" t="s">
        <v>134</v>
      </c>
    </row>
    <row r="4" spans="1:6" ht="19.5" customHeight="1">
      <c r="A4" s="128"/>
      <c r="B4" s="129"/>
      <c r="C4" s="130"/>
      <c r="D4" s="132"/>
      <c r="E4" s="132"/>
      <c r="F4" s="134"/>
    </row>
    <row r="5" spans="1:6" ht="19.5" customHeight="1">
      <c r="A5" s="115" t="s">
        <v>135</v>
      </c>
      <c r="B5" s="117" t="s">
        <v>136</v>
      </c>
      <c r="C5" s="17" t="s">
        <v>137</v>
      </c>
      <c r="D5" s="17">
        <f>내역서!H5</f>
        <v>20784301</v>
      </c>
      <c r="E5" s="18" t="s">
        <v>129</v>
      </c>
      <c r="F5" s="19"/>
    </row>
    <row r="6" spans="1:9" ht="19.5" customHeight="1">
      <c r="A6" s="115"/>
      <c r="B6" s="118"/>
      <c r="C6" s="20" t="s">
        <v>138</v>
      </c>
      <c r="D6" s="21">
        <f>D5</f>
        <v>20784301</v>
      </c>
      <c r="E6" s="22"/>
      <c r="F6" s="23"/>
      <c r="I6" s="24"/>
    </row>
    <row r="7" spans="1:6" ht="19.5" customHeight="1">
      <c r="A7" s="115"/>
      <c r="B7" s="119" t="s">
        <v>139</v>
      </c>
      <c r="C7" s="25" t="s">
        <v>140</v>
      </c>
      <c r="D7" s="25">
        <f>내역서!J5</f>
        <v>11231733</v>
      </c>
      <c r="E7" s="22" t="s">
        <v>129</v>
      </c>
      <c r="F7" s="23"/>
    </row>
    <row r="8" spans="1:6" ht="19.5" customHeight="1">
      <c r="A8" s="115"/>
      <c r="B8" s="117"/>
      <c r="C8" s="21" t="s">
        <v>141</v>
      </c>
      <c r="D8" s="21">
        <f>TRUNC(D7*13.7%,0)</f>
        <v>1538747</v>
      </c>
      <c r="E8" s="22" t="s">
        <v>424</v>
      </c>
      <c r="F8" s="23"/>
    </row>
    <row r="9" spans="1:6" ht="19.5" customHeight="1">
      <c r="A9" s="115"/>
      <c r="B9" s="118"/>
      <c r="C9" s="20" t="s">
        <v>138</v>
      </c>
      <c r="D9" s="21">
        <f>SUM(D7:D8)</f>
        <v>12770480</v>
      </c>
      <c r="E9" s="22"/>
      <c r="F9" s="23"/>
    </row>
    <row r="10" spans="1:6" ht="19.5" customHeight="1">
      <c r="A10" s="115"/>
      <c r="B10" s="119" t="s">
        <v>142</v>
      </c>
      <c r="C10" s="25" t="s">
        <v>143</v>
      </c>
      <c r="D10" s="25">
        <f>내역서!L5</f>
        <v>5657310</v>
      </c>
      <c r="E10" s="22" t="s">
        <v>129</v>
      </c>
      <c r="F10" s="23"/>
    </row>
    <row r="11" spans="1:6" ht="19.5" customHeight="1">
      <c r="A11" s="115"/>
      <c r="B11" s="117"/>
      <c r="C11" s="21" t="s">
        <v>144</v>
      </c>
      <c r="D11" s="21">
        <f>TRUNC(D9*3.7%,0)</f>
        <v>472507</v>
      </c>
      <c r="E11" s="22" t="s">
        <v>145</v>
      </c>
      <c r="F11" s="23"/>
    </row>
    <row r="12" spans="1:11" ht="19.5" customHeight="1">
      <c r="A12" s="115"/>
      <c r="B12" s="117"/>
      <c r="C12" s="21" t="s">
        <v>146</v>
      </c>
      <c r="D12" s="21">
        <f>TRUNC(D9*1.01%,0)</f>
        <v>128981</v>
      </c>
      <c r="E12" s="22" t="s">
        <v>147</v>
      </c>
      <c r="F12" s="23"/>
      <c r="K12" s="26"/>
    </row>
    <row r="13" spans="1:6" ht="19.5" customHeight="1">
      <c r="A13" s="115"/>
      <c r="B13" s="117"/>
      <c r="C13" s="21" t="s">
        <v>148</v>
      </c>
      <c r="D13" s="21"/>
      <c r="E13" s="22" t="s">
        <v>217</v>
      </c>
      <c r="F13" s="23"/>
    </row>
    <row r="14" spans="1:6" ht="19.5" customHeight="1">
      <c r="A14" s="115"/>
      <c r="B14" s="117"/>
      <c r="C14" s="21" t="s">
        <v>149</v>
      </c>
      <c r="D14" s="21"/>
      <c r="E14" s="22" t="s">
        <v>218</v>
      </c>
      <c r="F14" s="23"/>
    </row>
    <row r="15" spans="1:6" ht="19.5" customHeight="1">
      <c r="A15" s="115"/>
      <c r="B15" s="117"/>
      <c r="C15" s="21" t="s">
        <v>150</v>
      </c>
      <c r="D15" s="21"/>
      <c r="E15" s="22" t="s">
        <v>151</v>
      </c>
      <c r="F15" s="23"/>
    </row>
    <row r="16" spans="1:9" ht="19.5" customHeight="1">
      <c r="A16" s="115"/>
      <c r="B16" s="117"/>
      <c r="C16" s="21" t="s">
        <v>152</v>
      </c>
      <c r="D16" s="21"/>
      <c r="E16" s="22" t="s">
        <v>153</v>
      </c>
      <c r="F16" s="27"/>
      <c r="I16" s="24"/>
    </row>
    <row r="17" spans="1:6" ht="19.5" customHeight="1">
      <c r="A17" s="115"/>
      <c r="B17" s="117"/>
      <c r="C17" s="28" t="s">
        <v>154</v>
      </c>
      <c r="D17" s="21"/>
      <c r="E17" s="22" t="s">
        <v>155</v>
      </c>
      <c r="F17" s="23"/>
    </row>
    <row r="18" spans="1:6" ht="19.5" customHeight="1">
      <c r="A18" s="115"/>
      <c r="B18" s="117"/>
      <c r="C18" s="29" t="s">
        <v>156</v>
      </c>
      <c r="D18" s="21">
        <f>TRUNC((D5+D7)*1.85%,0)</f>
        <v>592296</v>
      </c>
      <c r="E18" s="22" t="s">
        <v>157</v>
      </c>
      <c r="F18" s="30"/>
    </row>
    <row r="19" spans="1:8" ht="19.5" customHeight="1">
      <c r="A19" s="115"/>
      <c r="B19" s="117"/>
      <c r="C19" s="21" t="s">
        <v>175</v>
      </c>
      <c r="D19" s="21">
        <f>TRUNC((D5+D9)*6.4%,0)</f>
        <v>2147505</v>
      </c>
      <c r="E19" s="22" t="s">
        <v>425</v>
      </c>
      <c r="F19" s="23"/>
      <c r="H19" s="31"/>
    </row>
    <row r="20" spans="1:8" ht="19.5" customHeight="1">
      <c r="A20" s="116"/>
      <c r="B20" s="118"/>
      <c r="C20" s="32" t="s">
        <v>138</v>
      </c>
      <c r="D20" s="21">
        <f>SUM(D10:D19)</f>
        <v>8998599</v>
      </c>
      <c r="E20" s="22"/>
      <c r="F20" s="23"/>
      <c r="H20" s="31"/>
    </row>
    <row r="21" spans="1:9" s="16" customFormat="1" ht="19.5" customHeight="1">
      <c r="A21" s="120" t="s">
        <v>158</v>
      </c>
      <c r="B21" s="121"/>
      <c r="C21" s="122"/>
      <c r="D21" s="25">
        <f>D6+D9+D20</f>
        <v>42553380</v>
      </c>
      <c r="E21" s="33" t="s">
        <v>159</v>
      </c>
      <c r="F21" s="34"/>
      <c r="H21" s="13"/>
      <c r="I21" s="14"/>
    </row>
    <row r="22" spans="1:8" ht="19.5" customHeight="1">
      <c r="A22" s="106" t="s">
        <v>176</v>
      </c>
      <c r="B22" s="107"/>
      <c r="C22" s="108"/>
      <c r="D22" s="21">
        <f>TRUNC(D21*6%,0)</f>
        <v>2553202</v>
      </c>
      <c r="E22" s="22" t="s">
        <v>160</v>
      </c>
      <c r="F22" s="23"/>
      <c r="H22" s="35"/>
    </row>
    <row r="23" spans="1:8" ht="19.5" customHeight="1">
      <c r="A23" s="106" t="s">
        <v>177</v>
      </c>
      <c r="B23" s="107"/>
      <c r="C23" s="108"/>
      <c r="D23" s="21">
        <f>TRUNC((D9+D20+D22)*10%,0)-6076</f>
        <v>2426152</v>
      </c>
      <c r="E23" s="22" t="s">
        <v>178</v>
      </c>
      <c r="F23" s="23"/>
      <c r="H23" s="35"/>
    </row>
    <row r="24" spans="1:9" s="16" customFormat="1" ht="19.5" customHeight="1">
      <c r="A24" s="109" t="s">
        <v>161</v>
      </c>
      <c r="B24" s="110"/>
      <c r="C24" s="111"/>
      <c r="D24" s="25">
        <f>SUM(D21:D23)</f>
        <v>47532734</v>
      </c>
      <c r="E24" s="33" t="s">
        <v>162</v>
      </c>
      <c r="F24" s="34"/>
      <c r="H24" s="13"/>
      <c r="I24" s="14"/>
    </row>
    <row r="25" spans="1:6" ht="19.5" customHeight="1">
      <c r="A25" s="36" t="s">
        <v>179</v>
      </c>
      <c r="B25" s="37"/>
      <c r="C25" s="38"/>
      <c r="D25" s="21">
        <f>TRUNC(D24*0.1,0)</f>
        <v>4753273</v>
      </c>
      <c r="E25" s="22" t="s">
        <v>164</v>
      </c>
      <c r="F25" s="39"/>
    </row>
    <row r="26" spans="1:9" s="16" customFormat="1" ht="19.5" customHeight="1" thickBot="1">
      <c r="A26" s="112" t="s">
        <v>163</v>
      </c>
      <c r="B26" s="113"/>
      <c r="C26" s="114"/>
      <c r="D26" s="40">
        <f>TRUNC(D24+D25,-4)</f>
        <v>52280000</v>
      </c>
      <c r="E26" s="41" t="s">
        <v>165</v>
      </c>
      <c r="F26" s="42" t="s">
        <v>423</v>
      </c>
      <c r="H26" s="13"/>
      <c r="I26" s="14"/>
    </row>
    <row r="27" spans="3:6" ht="24.75" customHeight="1">
      <c r="C27" s="43"/>
      <c r="D27" s="44">
        <f>D26-D5-D7-D10</f>
        <v>14606656</v>
      </c>
      <c r="E27" s="45"/>
      <c r="F27" s="45"/>
    </row>
    <row r="28" ht="22.5" customHeight="1">
      <c r="D28" s="46"/>
    </row>
    <row r="29" spans="4:5" ht="22.5" customHeight="1">
      <c r="D29" s="47"/>
      <c r="E29" s="48"/>
    </row>
    <row r="30" ht="24.75" customHeight="1">
      <c r="D30" s="48"/>
    </row>
    <row r="31" ht="24.75" customHeight="1">
      <c r="D31" s="48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sheetProtection/>
  <mergeCells count="15">
    <mergeCell ref="A1:F1"/>
    <mergeCell ref="A2:D2"/>
    <mergeCell ref="A3:C4"/>
    <mergeCell ref="D3:D4"/>
    <mergeCell ref="E3:E4"/>
    <mergeCell ref="F3:F4"/>
    <mergeCell ref="A23:C23"/>
    <mergeCell ref="A24:C24"/>
    <mergeCell ref="A26:C26"/>
    <mergeCell ref="A5:A20"/>
    <mergeCell ref="B5:B6"/>
    <mergeCell ref="B7:B9"/>
    <mergeCell ref="B10:B20"/>
    <mergeCell ref="A21:C21"/>
    <mergeCell ref="A22:C22"/>
  </mergeCells>
  <printOptions horizontalCentered="1"/>
  <pageMargins left="0.5905511811023623" right="0.3937007874015748" top="0.7874015748031497" bottom="0.3937007874015748" header="0.3937007874015748" footer="0.1968503937007874"/>
  <pageSetup horizontalDpi="600" verticalDpi="600" orientation="landscape" paperSize="9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view="pageBreakPreview" zoomScale="160" zoomScaleSheetLayoutView="160" zoomScalePageLayoutView="0" workbookViewId="0" topLeftCell="A1">
      <pane xSplit="4" ySplit="4" topLeftCell="E1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"/>
    </sheetView>
  </sheetViews>
  <sheetFormatPr defaultColWidth="9.33203125" defaultRowHeight="18" customHeight="1"/>
  <cols>
    <col min="1" max="1" width="25" style="49" customWidth="1"/>
    <col min="2" max="2" width="20" style="61" customWidth="1"/>
    <col min="3" max="3" width="8" style="49" customWidth="1"/>
    <col min="4" max="4" width="5" style="61" customWidth="1"/>
    <col min="5" max="12" width="13" style="49" customWidth="1"/>
    <col min="13" max="13" width="10" style="49" customWidth="1"/>
    <col min="14" max="46" width="9.33203125" style="49" customWidth="1"/>
    <col min="47" max="16384" width="9.33203125" style="49" customWidth="1"/>
  </cols>
  <sheetData>
    <row r="1" spans="1:13" ht="30" customHeight="1">
      <c r="A1" s="136" t="s">
        <v>190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4" s="59" customFormat="1" ht="19.5" customHeight="1">
      <c r="A2" s="59" t="str">
        <f>원가계산서!A2</f>
        <v>▣ 공 사 명 : 분당 서현 청소년수련관 옥상 조경 공사</v>
      </c>
      <c r="B2" s="60"/>
      <c r="D2" s="60"/>
    </row>
    <row r="3" spans="1:13" ht="18.75" customHeight="1">
      <c r="A3" s="135" t="s">
        <v>21</v>
      </c>
      <c r="B3" s="135" t="s">
        <v>60</v>
      </c>
      <c r="C3" s="135" t="s">
        <v>72</v>
      </c>
      <c r="D3" s="135" t="s">
        <v>49</v>
      </c>
      <c r="E3" s="135" t="s">
        <v>124</v>
      </c>
      <c r="F3" s="135" t="s">
        <v>129</v>
      </c>
      <c r="G3" s="135" t="s">
        <v>86</v>
      </c>
      <c r="H3" s="135" t="s">
        <v>129</v>
      </c>
      <c r="I3" s="135" t="s">
        <v>55</v>
      </c>
      <c r="J3" s="135" t="s">
        <v>129</v>
      </c>
      <c r="K3" s="135" t="s">
        <v>8</v>
      </c>
      <c r="L3" s="135" t="s">
        <v>129</v>
      </c>
      <c r="M3" s="139" t="s">
        <v>36</v>
      </c>
    </row>
    <row r="4" spans="1:13" ht="18.75" customHeight="1">
      <c r="A4" s="135" t="s">
        <v>129</v>
      </c>
      <c r="B4" s="135" t="s">
        <v>129</v>
      </c>
      <c r="C4" s="135" t="s">
        <v>129</v>
      </c>
      <c r="D4" s="135" t="s">
        <v>129</v>
      </c>
      <c r="E4" s="50" t="s">
        <v>31</v>
      </c>
      <c r="F4" s="50" t="s">
        <v>19</v>
      </c>
      <c r="G4" s="50" t="s">
        <v>31</v>
      </c>
      <c r="H4" s="50" t="s">
        <v>19</v>
      </c>
      <c r="I4" s="50" t="s">
        <v>31</v>
      </c>
      <c r="J4" s="50" t="s">
        <v>19</v>
      </c>
      <c r="K4" s="50" t="s">
        <v>31</v>
      </c>
      <c r="L4" s="50" t="s">
        <v>19</v>
      </c>
      <c r="M4" s="139" t="s">
        <v>129</v>
      </c>
    </row>
    <row r="5" spans="1:14" ht="18.75" customHeight="1">
      <c r="A5" s="137" t="s">
        <v>213</v>
      </c>
      <c r="B5" s="138"/>
      <c r="C5" s="51">
        <v>1</v>
      </c>
      <c r="D5" s="56" t="s">
        <v>209</v>
      </c>
      <c r="E5" s="52"/>
      <c r="F5" s="53">
        <f>H5+J5+L5</f>
        <v>37673344</v>
      </c>
      <c r="G5" s="52"/>
      <c r="H5" s="53">
        <f>TRUNC(H6+H7,0)</f>
        <v>20784301</v>
      </c>
      <c r="I5" s="52"/>
      <c r="J5" s="53">
        <f>TRUNC(J6+J7,0)</f>
        <v>11231733</v>
      </c>
      <c r="K5" s="52"/>
      <c r="L5" s="53">
        <f>TRUNC(L6+L7,0)</f>
        <v>5657310</v>
      </c>
      <c r="M5" s="54" t="s">
        <v>129</v>
      </c>
      <c r="N5" s="49" t="s">
        <v>129</v>
      </c>
    </row>
    <row r="6" spans="1:48" ht="18.75" customHeight="1">
      <c r="A6" s="51" t="s">
        <v>167</v>
      </c>
      <c r="B6" s="56" t="s">
        <v>129</v>
      </c>
      <c r="C6" s="51">
        <v>1</v>
      </c>
      <c r="D6" s="56" t="s">
        <v>100</v>
      </c>
      <c r="E6" s="53">
        <f>G6+I6+K6</f>
        <v>17456104</v>
      </c>
      <c r="F6" s="53">
        <f>H6+J6+L6</f>
        <v>17456104</v>
      </c>
      <c r="G6" s="53">
        <f>H9</f>
        <v>13924739</v>
      </c>
      <c r="H6" s="53">
        <f>TRUNC(G6*C6,0)</f>
        <v>13924739</v>
      </c>
      <c r="I6" s="53">
        <f>J9</f>
        <v>3531365</v>
      </c>
      <c r="J6" s="53">
        <f>TRUNC(I6*C6,0)</f>
        <v>3531365</v>
      </c>
      <c r="K6" s="53">
        <f>L9</f>
        <v>0</v>
      </c>
      <c r="L6" s="53">
        <f>TRUNC(K6*C6,0)</f>
        <v>0</v>
      </c>
      <c r="M6" s="54" t="s">
        <v>129</v>
      </c>
      <c r="N6" s="49" t="s">
        <v>129</v>
      </c>
      <c r="AV6" s="55" t="str">
        <f>HYPERLINK("#내역서!A10","A01 →")</f>
        <v>A01 →</v>
      </c>
    </row>
    <row r="7" spans="1:48" ht="18.75" customHeight="1">
      <c r="A7" s="51" t="s">
        <v>189</v>
      </c>
      <c r="B7" s="56" t="s">
        <v>129</v>
      </c>
      <c r="C7" s="51">
        <v>1</v>
      </c>
      <c r="D7" s="56" t="s">
        <v>100</v>
      </c>
      <c r="E7" s="53">
        <f>G7+I7+K7</f>
        <v>20217240</v>
      </c>
      <c r="F7" s="53">
        <f>H7+J7+L7</f>
        <v>20217240</v>
      </c>
      <c r="G7" s="53">
        <f>H20</f>
        <v>6859562</v>
      </c>
      <c r="H7" s="53">
        <f>TRUNC(G7*C7,0)</f>
        <v>6859562</v>
      </c>
      <c r="I7" s="53">
        <f>J20</f>
        <v>7700368</v>
      </c>
      <c r="J7" s="53">
        <f>TRUNC(I7*C7,0)</f>
        <v>7700368</v>
      </c>
      <c r="K7" s="53">
        <f>L20</f>
        <v>5657310</v>
      </c>
      <c r="L7" s="53">
        <f>TRUNC(K7*C7,0)</f>
        <v>5657310</v>
      </c>
      <c r="M7" s="54" t="s">
        <v>129</v>
      </c>
      <c r="N7" s="49" t="s">
        <v>129</v>
      </c>
      <c r="AV7" s="55" t="str">
        <f>HYPERLINK("#내역서!A26","A03 →")</f>
        <v>A03 →</v>
      </c>
    </row>
    <row r="8" spans="1:14" ht="18.75" customHeight="1">
      <c r="A8" s="51" t="s">
        <v>54</v>
      </c>
      <c r="B8" s="56" t="s">
        <v>129</v>
      </c>
      <c r="C8" s="51"/>
      <c r="D8" s="56" t="s">
        <v>129</v>
      </c>
      <c r="E8" s="53">
        <f>G8+I8+K8</f>
        <v>0</v>
      </c>
      <c r="F8" s="53">
        <f>H8+J8+L8</f>
        <v>0</v>
      </c>
      <c r="G8" s="56"/>
      <c r="H8" s="53">
        <v>0</v>
      </c>
      <c r="I8" s="56"/>
      <c r="J8" s="53">
        <v>0</v>
      </c>
      <c r="K8" s="56"/>
      <c r="L8" s="53">
        <v>0</v>
      </c>
      <c r="M8" s="54" t="s">
        <v>129</v>
      </c>
      <c r="N8" s="49" t="s">
        <v>129</v>
      </c>
    </row>
    <row r="9" spans="1:14" ht="18.75" customHeight="1">
      <c r="A9" s="51" t="s">
        <v>167</v>
      </c>
      <c r="B9" s="56" t="s">
        <v>129</v>
      </c>
      <c r="C9" s="51">
        <v>1</v>
      </c>
      <c r="D9" s="56" t="s">
        <v>100</v>
      </c>
      <c r="E9" s="52"/>
      <c r="F9" s="53">
        <f aca="true" t="shared" si="0" ref="F9:F18">H9+J9+L9</f>
        <v>17456104</v>
      </c>
      <c r="G9" s="52"/>
      <c r="H9" s="53">
        <f>SUM(H10:H18)</f>
        <v>13924739</v>
      </c>
      <c r="I9" s="52"/>
      <c r="J9" s="53">
        <f>SUM(J10:J18)</f>
        <v>3531365</v>
      </c>
      <c r="K9" s="52"/>
      <c r="L9" s="53">
        <f>SUM(L10:L18)</f>
        <v>0</v>
      </c>
      <c r="M9" s="54" t="s">
        <v>129</v>
      </c>
      <c r="N9" s="49" t="s">
        <v>129</v>
      </c>
    </row>
    <row r="10" spans="1:13" ht="18.75" customHeight="1">
      <c r="A10" s="51" t="s">
        <v>359</v>
      </c>
      <c r="B10" s="56" t="s">
        <v>348</v>
      </c>
      <c r="C10" s="58" t="s">
        <v>360</v>
      </c>
      <c r="D10" s="56" t="s">
        <v>166</v>
      </c>
      <c r="E10" s="53">
        <f aca="true" t="shared" si="1" ref="E10:E18">G10+I10+K10</f>
        <v>36278</v>
      </c>
      <c r="F10" s="53">
        <f t="shared" si="0"/>
        <v>1088340</v>
      </c>
      <c r="G10" s="53">
        <f>일위대가목록!F4</f>
        <v>12600</v>
      </c>
      <c r="H10" s="53">
        <f>TRUNC(G10*C10,0)</f>
        <v>378000</v>
      </c>
      <c r="I10" s="53">
        <f>일위대가목록!G4</f>
        <v>23678</v>
      </c>
      <c r="J10" s="53">
        <f aca="true" t="shared" si="2" ref="J10:J18">TRUNC(I10*C10,0)</f>
        <v>710340</v>
      </c>
      <c r="K10" s="53"/>
      <c r="L10" s="53">
        <f aca="true" t="shared" si="3" ref="L10:L18">TRUNC(K10*C10,0)</f>
        <v>0</v>
      </c>
      <c r="M10" s="54"/>
    </row>
    <row r="11" spans="1:13" ht="18.75" customHeight="1">
      <c r="A11" s="51" t="s">
        <v>416</v>
      </c>
      <c r="B11" s="56" t="s">
        <v>417</v>
      </c>
      <c r="C11" s="58" t="s">
        <v>375</v>
      </c>
      <c r="D11" s="56" t="s">
        <v>166</v>
      </c>
      <c r="E11" s="53">
        <f t="shared" si="1"/>
        <v>330535</v>
      </c>
      <c r="F11" s="53">
        <f t="shared" si="0"/>
        <v>4958025</v>
      </c>
      <c r="G11" s="53">
        <f>일위대가목록!F5</f>
        <v>294000</v>
      </c>
      <c r="H11" s="53">
        <f>TRUNC(G11*C11,0)</f>
        <v>4410000</v>
      </c>
      <c r="I11" s="53">
        <f>일위대가목록!G5</f>
        <v>36535</v>
      </c>
      <c r="J11" s="53">
        <f t="shared" si="2"/>
        <v>548025</v>
      </c>
      <c r="K11" s="53"/>
      <c r="L11" s="53">
        <f t="shared" si="3"/>
        <v>0</v>
      </c>
      <c r="M11" s="54"/>
    </row>
    <row r="12" spans="1:13" ht="18.75" customHeight="1">
      <c r="A12" s="51" t="s">
        <v>386</v>
      </c>
      <c r="B12" s="56" t="s">
        <v>378</v>
      </c>
      <c r="C12" s="58" t="s">
        <v>414</v>
      </c>
      <c r="D12" s="56" t="s">
        <v>166</v>
      </c>
      <c r="E12" s="53">
        <f>G12+I12+K12</f>
        <v>4712</v>
      </c>
      <c r="F12" s="53">
        <f>H12+J12+L12</f>
        <v>942400</v>
      </c>
      <c r="G12" s="53">
        <f>일위대가목록!F6</f>
        <v>2205</v>
      </c>
      <c r="H12" s="53">
        <f>TRUNC(G12*C12,0)</f>
        <v>441000</v>
      </c>
      <c r="I12" s="53">
        <f>일위대가목록!G6</f>
        <v>2507</v>
      </c>
      <c r="J12" s="53">
        <f>TRUNC(I12*C12,0)</f>
        <v>501400</v>
      </c>
      <c r="K12" s="53"/>
      <c r="L12" s="53">
        <f>TRUNC(K12*C12,0)</f>
        <v>0</v>
      </c>
      <c r="M12" s="54"/>
    </row>
    <row r="13" spans="1:48" ht="18.75" customHeight="1">
      <c r="A13" s="51" t="s">
        <v>361</v>
      </c>
      <c r="B13" s="65" t="s">
        <v>352</v>
      </c>
      <c r="C13" s="58" t="s">
        <v>362</v>
      </c>
      <c r="D13" s="56" t="s">
        <v>170</v>
      </c>
      <c r="E13" s="53">
        <f t="shared" si="1"/>
        <v>20380</v>
      </c>
      <c r="F13" s="53">
        <f t="shared" si="0"/>
        <v>31839</v>
      </c>
      <c r="G13" s="53">
        <f>일위대가목록!F7</f>
        <v>19950</v>
      </c>
      <c r="H13" s="53">
        <v>1739</v>
      </c>
      <c r="I13" s="53">
        <f>일위대가목록!G7</f>
        <v>430</v>
      </c>
      <c r="J13" s="53">
        <f t="shared" si="2"/>
        <v>30100</v>
      </c>
      <c r="K13" s="53">
        <f>일위대가목록!H7</f>
        <v>0</v>
      </c>
      <c r="L13" s="53">
        <f t="shared" si="3"/>
        <v>0</v>
      </c>
      <c r="M13" s="54" t="s">
        <v>129</v>
      </c>
      <c r="N13" s="49" t="s">
        <v>129</v>
      </c>
      <c r="AV13" s="55" t="str">
        <f>HYPERLINK("#일위대가목록!A7","TS-NC03 →")</f>
        <v>TS-NC03 →</v>
      </c>
    </row>
    <row r="14" spans="1:48" ht="18.75" customHeight="1">
      <c r="A14" s="51" t="s">
        <v>363</v>
      </c>
      <c r="B14" s="65" t="s">
        <v>352</v>
      </c>
      <c r="C14" s="58" t="s">
        <v>364</v>
      </c>
      <c r="D14" s="56" t="s">
        <v>170</v>
      </c>
      <c r="E14" s="53">
        <f t="shared" si="1"/>
        <v>19330</v>
      </c>
      <c r="F14" s="53">
        <f t="shared" si="0"/>
        <v>1739700</v>
      </c>
      <c r="G14" s="53">
        <f>일위대가목록!F8</f>
        <v>18900</v>
      </c>
      <c r="H14" s="53">
        <f>TRUNC(G14*C14,0)</f>
        <v>1701000</v>
      </c>
      <c r="I14" s="53">
        <f>일위대가목록!G8</f>
        <v>430</v>
      </c>
      <c r="J14" s="53">
        <f t="shared" si="2"/>
        <v>38700</v>
      </c>
      <c r="K14" s="53">
        <f>일위대가목록!H10</f>
        <v>0</v>
      </c>
      <c r="L14" s="53">
        <f t="shared" si="3"/>
        <v>0</v>
      </c>
      <c r="M14" s="54" t="s">
        <v>129</v>
      </c>
      <c r="N14" s="49" t="s">
        <v>129</v>
      </c>
      <c r="AV14" s="55" t="str">
        <f>HYPERLINK("#일위대가목록!A9","TS-JPNM03 →")</f>
        <v>TS-JPNM03 →</v>
      </c>
    </row>
    <row r="15" spans="1:48" ht="18.75" customHeight="1">
      <c r="A15" s="51" t="s">
        <v>418</v>
      </c>
      <c r="B15" s="56" t="s">
        <v>419</v>
      </c>
      <c r="C15" s="58" t="s">
        <v>376</v>
      </c>
      <c r="D15" s="56" t="s">
        <v>170</v>
      </c>
      <c r="E15" s="53">
        <f t="shared" si="1"/>
        <v>3055</v>
      </c>
      <c r="F15" s="53">
        <f t="shared" si="0"/>
        <v>3055000</v>
      </c>
      <c r="G15" s="53">
        <f>일위대가목록!F9</f>
        <v>2625</v>
      </c>
      <c r="H15" s="53">
        <f>TRUNC(G15*C15,0)</f>
        <v>2625000</v>
      </c>
      <c r="I15" s="53">
        <f>일위대가목록!G9</f>
        <v>430</v>
      </c>
      <c r="J15" s="53">
        <f t="shared" si="2"/>
        <v>430000</v>
      </c>
      <c r="K15" s="53">
        <f>일위대가목록!H11</f>
        <v>0</v>
      </c>
      <c r="L15" s="53">
        <f t="shared" si="3"/>
        <v>0</v>
      </c>
      <c r="M15" s="54" t="s">
        <v>129</v>
      </c>
      <c r="N15" s="49" t="s">
        <v>129</v>
      </c>
      <c r="AV15" s="55" t="str">
        <f>HYPERLINK("#일위대가목록!A9","TS-JPNM03 →")</f>
        <v>TS-JPNM03 →</v>
      </c>
    </row>
    <row r="16" spans="1:48" ht="18.75" customHeight="1">
      <c r="A16" s="51" t="s">
        <v>420</v>
      </c>
      <c r="B16" s="56" t="s">
        <v>419</v>
      </c>
      <c r="C16" s="58" t="s">
        <v>376</v>
      </c>
      <c r="D16" s="56" t="s">
        <v>170</v>
      </c>
      <c r="E16" s="53">
        <f t="shared" si="1"/>
        <v>2530</v>
      </c>
      <c r="F16" s="53">
        <f t="shared" si="0"/>
        <v>2530000</v>
      </c>
      <c r="G16" s="53">
        <f>일위대가목록!F10</f>
        <v>2100</v>
      </c>
      <c r="H16" s="53">
        <f>TRUNC(G16*C16,0)</f>
        <v>2100000</v>
      </c>
      <c r="I16" s="53">
        <f>일위대가목록!G10</f>
        <v>430</v>
      </c>
      <c r="J16" s="53">
        <f t="shared" si="2"/>
        <v>430000</v>
      </c>
      <c r="K16" s="53">
        <f>일위대가목록!H12</f>
        <v>0</v>
      </c>
      <c r="L16" s="53">
        <f t="shared" si="3"/>
        <v>0</v>
      </c>
      <c r="M16" s="54" t="s">
        <v>129</v>
      </c>
      <c r="N16" s="49" t="s">
        <v>129</v>
      </c>
      <c r="AV16" s="55" t="str">
        <f>HYPERLINK("#일위대가목록!A10","TS-HSNM03 →")</f>
        <v>TS-HSNM03 →</v>
      </c>
    </row>
    <row r="17" spans="1:48" ht="18.75" customHeight="1">
      <c r="A17" s="51" t="s">
        <v>421</v>
      </c>
      <c r="B17" s="56" t="s">
        <v>169</v>
      </c>
      <c r="C17" s="58" t="s">
        <v>376</v>
      </c>
      <c r="D17" s="56" t="s">
        <v>170</v>
      </c>
      <c r="E17" s="53">
        <f t="shared" si="1"/>
        <v>1690</v>
      </c>
      <c r="F17" s="53">
        <f t="shared" si="0"/>
        <v>1690000</v>
      </c>
      <c r="G17" s="53">
        <f>일위대가목록!F11</f>
        <v>1260</v>
      </c>
      <c r="H17" s="53">
        <f>TRUNC(G17*C17,0)</f>
        <v>1260000</v>
      </c>
      <c r="I17" s="53">
        <f>일위대가목록!G11</f>
        <v>430</v>
      </c>
      <c r="J17" s="53">
        <f t="shared" si="2"/>
        <v>430000</v>
      </c>
      <c r="K17" s="53"/>
      <c r="L17" s="53">
        <f t="shared" si="3"/>
        <v>0</v>
      </c>
      <c r="M17" s="54" t="s">
        <v>129</v>
      </c>
      <c r="N17" s="49" t="s">
        <v>129</v>
      </c>
      <c r="AV17" s="55" t="str">
        <f>HYPERLINK("#일위대가목록!A11","TS-HMH04 →")</f>
        <v>TS-HMH04 →</v>
      </c>
    </row>
    <row r="18" spans="1:48" ht="18.75" customHeight="1">
      <c r="A18" s="51" t="s">
        <v>422</v>
      </c>
      <c r="B18" s="56" t="s">
        <v>172</v>
      </c>
      <c r="C18" s="58" t="s">
        <v>210</v>
      </c>
      <c r="D18" s="56" t="s">
        <v>170</v>
      </c>
      <c r="E18" s="53">
        <f t="shared" si="1"/>
        <v>1480</v>
      </c>
      <c r="F18" s="53">
        <f t="shared" si="0"/>
        <v>1420800</v>
      </c>
      <c r="G18" s="53">
        <f>일위대가목록!F12</f>
        <v>1050</v>
      </c>
      <c r="H18" s="53">
        <f>TRUNC(G18*C18,0)</f>
        <v>1008000</v>
      </c>
      <c r="I18" s="53">
        <f>일위대가목록!G12</f>
        <v>430</v>
      </c>
      <c r="J18" s="53">
        <f t="shared" si="2"/>
        <v>412800</v>
      </c>
      <c r="K18" s="53">
        <f>일위대가목록!H9</f>
        <v>0</v>
      </c>
      <c r="L18" s="53">
        <f t="shared" si="3"/>
        <v>0</v>
      </c>
      <c r="M18" s="54" t="s">
        <v>129</v>
      </c>
      <c r="N18" s="49" t="s">
        <v>129</v>
      </c>
      <c r="AV18" s="55" t="str">
        <f>HYPERLINK("#일위대가목록!A8","TS-SCJJ03 →")</f>
        <v>TS-SCJJ03 →</v>
      </c>
    </row>
    <row r="19" spans="1:13" ht="18.75" customHeight="1">
      <c r="A19" s="56"/>
      <c r="B19" s="56"/>
      <c r="C19" s="56"/>
      <c r="D19" s="56"/>
      <c r="E19" s="56" t="s">
        <v>415</v>
      </c>
      <c r="F19" s="56"/>
      <c r="G19" s="56"/>
      <c r="H19" s="56"/>
      <c r="I19" s="56"/>
      <c r="J19" s="56"/>
      <c r="K19" s="56"/>
      <c r="L19" s="56"/>
      <c r="M19" s="57"/>
    </row>
    <row r="20" spans="1:14" ht="18.75" customHeight="1">
      <c r="A20" s="51" t="s">
        <v>189</v>
      </c>
      <c r="B20" s="56" t="s">
        <v>129</v>
      </c>
      <c r="C20" s="51">
        <v>1</v>
      </c>
      <c r="D20" s="56" t="s">
        <v>100</v>
      </c>
      <c r="E20" s="52"/>
      <c r="F20" s="53">
        <f aca="true" t="shared" si="4" ref="F20:F28">H20+J20+L20</f>
        <v>20217240</v>
      </c>
      <c r="G20" s="52"/>
      <c r="H20" s="53">
        <f>SUM(H21:H28)</f>
        <v>6859562</v>
      </c>
      <c r="I20" s="52"/>
      <c r="J20" s="53">
        <f>SUM(J21:J28)</f>
        <v>7700368</v>
      </c>
      <c r="K20" s="52"/>
      <c r="L20" s="53">
        <f>SUM(L21:L28)</f>
        <v>5657310</v>
      </c>
      <c r="M20" s="54" t="s">
        <v>129</v>
      </c>
      <c r="N20" s="49" t="s">
        <v>129</v>
      </c>
    </row>
    <row r="21" spans="1:48" ht="18.75" customHeight="1">
      <c r="A21" s="51" t="s">
        <v>174</v>
      </c>
      <c r="B21" s="66" t="s">
        <v>199</v>
      </c>
      <c r="C21" s="58" t="s">
        <v>345</v>
      </c>
      <c r="D21" s="56" t="s">
        <v>56</v>
      </c>
      <c r="E21" s="53">
        <f aca="true" t="shared" si="5" ref="E21:E28">G21+I21+K21</f>
        <v>18465</v>
      </c>
      <c r="F21" s="53">
        <f t="shared" si="4"/>
        <v>2228725</v>
      </c>
      <c r="G21" s="53">
        <f>일위대가목록!F13</f>
        <v>11375</v>
      </c>
      <c r="H21" s="53">
        <f aca="true" t="shared" si="6" ref="H21:H26">TRUNC(G21*C21,0)</f>
        <v>1372962</v>
      </c>
      <c r="I21" s="53">
        <f>일위대가목록!G13</f>
        <v>7090</v>
      </c>
      <c r="J21" s="53">
        <f aca="true" t="shared" si="7" ref="J21:J26">TRUNC(I21*C21,0)</f>
        <v>855763</v>
      </c>
      <c r="K21" s="53"/>
      <c r="L21" s="53">
        <f aca="true" t="shared" si="8" ref="L21:L26">TRUNC(K21*C21,0)</f>
        <v>0</v>
      </c>
      <c r="M21" s="54" t="s">
        <v>129</v>
      </c>
      <c r="N21" s="49" t="s">
        <v>129</v>
      </c>
      <c r="AV21" s="55" t="str">
        <f>HYPERLINK("#일위대가목록!A14","RD-1100-100 →")</f>
        <v>RD-1100-100 →</v>
      </c>
    </row>
    <row r="22" spans="1:48" ht="18.75" customHeight="1">
      <c r="A22" s="51" t="s">
        <v>204</v>
      </c>
      <c r="B22" s="66" t="s">
        <v>197</v>
      </c>
      <c r="C22" s="58" t="s">
        <v>346</v>
      </c>
      <c r="D22" s="56" t="s">
        <v>191</v>
      </c>
      <c r="E22" s="53">
        <f t="shared" si="5"/>
        <v>61141</v>
      </c>
      <c r="F22" s="53">
        <f t="shared" si="4"/>
        <v>3008137</v>
      </c>
      <c r="G22" s="53">
        <f>일위대가목록!F14</f>
        <v>51125</v>
      </c>
      <c r="H22" s="53">
        <f t="shared" si="6"/>
        <v>2515350</v>
      </c>
      <c r="I22" s="53">
        <f>일위대가목록!G14</f>
        <v>10016</v>
      </c>
      <c r="J22" s="53">
        <f t="shared" si="7"/>
        <v>492787</v>
      </c>
      <c r="K22" s="53"/>
      <c r="L22" s="53">
        <f t="shared" si="8"/>
        <v>0</v>
      </c>
      <c r="M22" s="54" t="s">
        <v>129</v>
      </c>
      <c r="N22" s="49" t="s">
        <v>129</v>
      </c>
      <c r="AV22" s="55" t="str">
        <f>HYPERLINK("#일위대가목록!A15","RD-1100-110 →")</f>
        <v>RD-1100-110 →</v>
      </c>
    </row>
    <row r="23" spans="1:48" ht="18.75" customHeight="1">
      <c r="A23" s="51" t="s">
        <v>206</v>
      </c>
      <c r="B23" s="56" t="s">
        <v>101</v>
      </c>
      <c r="C23" s="58" t="s">
        <v>208</v>
      </c>
      <c r="D23" s="56" t="s">
        <v>207</v>
      </c>
      <c r="E23" s="53">
        <f t="shared" si="5"/>
        <v>10000</v>
      </c>
      <c r="F23" s="53">
        <f t="shared" si="4"/>
        <v>500000</v>
      </c>
      <c r="G23" s="53">
        <f>일위대가목록!F15</f>
        <v>10000</v>
      </c>
      <c r="H23" s="53">
        <f t="shared" si="6"/>
        <v>500000</v>
      </c>
      <c r="I23" s="53">
        <f>일위대가목록!G15</f>
        <v>0</v>
      </c>
      <c r="J23" s="53">
        <f t="shared" si="7"/>
        <v>0</v>
      </c>
      <c r="K23" s="53">
        <f>일위대가목록!H15</f>
        <v>0</v>
      </c>
      <c r="L23" s="53">
        <f t="shared" si="8"/>
        <v>0</v>
      </c>
      <c r="M23" s="54" t="s">
        <v>129</v>
      </c>
      <c r="N23" s="49" t="s">
        <v>129</v>
      </c>
      <c r="AV23" s="55" t="str">
        <f>HYPERLINK("#일위대가목록!A16","RD-1100-120 →")</f>
        <v>RD-1100-120 →</v>
      </c>
    </row>
    <row r="24" spans="1:48" ht="18.75" customHeight="1">
      <c r="A24" s="53" t="s">
        <v>309</v>
      </c>
      <c r="B24" s="65" t="s">
        <v>274</v>
      </c>
      <c r="C24" s="58" t="s">
        <v>336</v>
      </c>
      <c r="D24" s="65" t="s">
        <v>220</v>
      </c>
      <c r="E24" s="53">
        <f t="shared" si="5"/>
        <v>77456</v>
      </c>
      <c r="F24" s="53">
        <f t="shared" si="4"/>
        <v>1239296</v>
      </c>
      <c r="G24" s="53">
        <f>일위대가목록!F16</f>
        <v>39528</v>
      </c>
      <c r="H24" s="53">
        <f t="shared" si="6"/>
        <v>632448</v>
      </c>
      <c r="I24" s="53">
        <f>일위대가목록!G16</f>
        <v>37396</v>
      </c>
      <c r="J24" s="53">
        <f t="shared" si="7"/>
        <v>598336</v>
      </c>
      <c r="K24" s="53">
        <f>일위대가목록!H16</f>
        <v>532</v>
      </c>
      <c r="L24" s="53">
        <f t="shared" si="8"/>
        <v>8512</v>
      </c>
      <c r="M24" s="54"/>
      <c r="AV24" s="55"/>
    </row>
    <row r="25" spans="1:48" ht="18.75" customHeight="1">
      <c r="A25" s="53" t="s">
        <v>327</v>
      </c>
      <c r="B25" s="65" t="s">
        <v>303</v>
      </c>
      <c r="C25" s="58" t="s">
        <v>328</v>
      </c>
      <c r="D25" s="65" t="s">
        <v>220</v>
      </c>
      <c r="E25" s="53">
        <f t="shared" si="5"/>
        <v>272564</v>
      </c>
      <c r="F25" s="53">
        <f t="shared" si="4"/>
        <v>4960664</v>
      </c>
      <c r="G25" s="53">
        <f>일위대가목록!F17</f>
        <v>66406</v>
      </c>
      <c r="H25" s="53">
        <f t="shared" si="6"/>
        <v>1208589</v>
      </c>
      <c r="I25" s="53">
        <f>일위대가목록!G17</f>
        <v>204171</v>
      </c>
      <c r="J25" s="53">
        <f t="shared" si="7"/>
        <v>3715912</v>
      </c>
      <c r="K25" s="53">
        <f>일위대가목록!H17</f>
        <v>1987</v>
      </c>
      <c r="L25" s="53">
        <f t="shared" si="8"/>
        <v>36163</v>
      </c>
      <c r="M25" s="54"/>
      <c r="AV25" s="55"/>
    </row>
    <row r="26" spans="1:48" ht="18.75" customHeight="1">
      <c r="A26" s="53" t="s">
        <v>327</v>
      </c>
      <c r="B26" s="65" t="s">
        <v>321</v>
      </c>
      <c r="C26" s="58" t="s">
        <v>334</v>
      </c>
      <c r="D26" s="65" t="s">
        <v>220</v>
      </c>
      <c r="E26" s="53">
        <f t="shared" si="5"/>
        <v>71760</v>
      </c>
      <c r="F26" s="53">
        <f t="shared" si="4"/>
        <v>2511600</v>
      </c>
      <c r="G26" s="53">
        <f>일위대가목록!F18</f>
        <v>17235</v>
      </c>
      <c r="H26" s="53">
        <f t="shared" si="6"/>
        <v>603225</v>
      </c>
      <c r="I26" s="53">
        <f>일위대가목록!G18</f>
        <v>54164</v>
      </c>
      <c r="J26" s="53">
        <f t="shared" si="7"/>
        <v>1895740</v>
      </c>
      <c r="K26" s="53">
        <f>일위대가목록!H18</f>
        <v>361</v>
      </c>
      <c r="L26" s="53">
        <f t="shared" si="8"/>
        <v>12635</v>
      </c>
      <c r="M26" s="54"/>
      <c r="AV26" s="55"/>
    </row>
    <row r="27" spans="1:48" ht="18.75" customHeight="1">
      <c r="A27" s="53" t="s">
        <v>344</v>
      </c>
      <c r="B27" s="65" t="s">
        <v>330</v>
      </c>
      <c r="C27" s="53">
        <v>26</v>
      </c>
      <c r="D27" s="65" t="s">
        <v>332</v>
      </c>
      <c r="E27" s="53">
        <f t="shared" si="5"/>
        <v>6493</v>
      </c>
      <c r="F27" s="53">
        <f t="shared" si="4"/>
        <v>168818</v>
      </c>
      <c r="G27" s="53">
        <f>일위대가목록!F19</f>
        <v>1038</v>
      </c>
      <c r="H27" s="53">
        <f>TRUNC(G27*C27,0)</f>
        <v>26988</v>
      </c>
      <c r="I27" s="53">
        <f>일위대가목록!G19</f>
        <v>5455</v>
      </c>
      <c r="J27" s="53">
        <f>TRUNC(I27*C27,0)</f>
        <v>141830</v>
      </c>
      <c r="K27" s="53">
        <f>일위대가목록!H19</f>
        <v>0</v>
      </c>
      <c r="L27" s="53">
        <f>TRUNC(K27*C27,0)</f>
        <v>0</v>
      </c>
      <c r="M27" s="54"/>
      <c r="AV27" s="55"/>
    </row>
    <row r="28" spans="1:48" ht="18.75" customHeight="1">
      <c r="A28" s="51" t="s">
        <v>211</v>
      </c>
      <c r="B28" s="56"/>
      <c r="C28" s="58" t="s">
        <v>335</v>
      </c>
      <c r="D28" s="56" t="s">
        <v>347</v>
      </c>
      <c r="E28" s="53">
        <f t="shared" si="5"/>
        <v>2800000</v>
      </c>
      <c r="F28" s="53">
        <f t="shared" si="4"/>
        <v>5600000</v>
      </c>
      <c r="G28" s="53">
        <f>일위대가목록!F20</f>
        <v>0</v>
      </c>
      <c r="H28" s="53">
        <f>TRUNC(G28*C28,0)</f>
        <v>0</v>
      </c>
      <c r="I28" s="53">
        <f>일위대가목록!G20</f>
        <v>0</v>
      </c>
      <c r="J28" s="53">
        <f>TRUNC(I28*C28,0)</f>
        <v>0</v>
      </c>
      <c r="K28" s="53">
        <f>일위대가목록!H20</f>
        <v>2800000</v>
      </c>
      <c r="L28" s="53">
        <f>TRUNC(K28*C28,0)</f>
        <v>5600000</v>
      </c>
      <c r="M28" s="54" t="s">
        <v>129</v>
      </c>
      <c r="N28" s="49" t="s">
        <v>129</v>
      </c>
      <c r="AV28" s="55" t="str">
        <f>HYPERLINK("#일위대가목록!A16","RD-1100-120 →")</f>
        <v>RD-1100-120 →</v>
      </c>
    </row>
  </sheetData>
  <sheetProtection/>
  <mergeCells count="11">
    <mergeCell ref="G3:H3"/>
    <mergeCell ref="I3:J3"/>
    <mergeCell ref="A1:M1"/>
    <mergeCell ref="A5:B5"/>
    <mergeCell ref="K3:L3"/>
    <mergeCell ref="E3:F3"/>
    <mergeCell ref="M3:M4"/>
    <mergeCell ref="A3:A4"/>
    <mergeCell ref="B3:B4"/>
    <mergeCell ref="C3:C4"/>
    <mergeCell ref="D3:D4"/>
  </mergeCells>
  <printOptions horizontalCentered="1"/>
  <pageMargins left="0.5905511811023623" right="0.3937007874015748" top="0.7874015748031497" bottom="0.3937007874015748" header="0.3937007874015748" footer="0.5118110236220472"/>
  <pageSetup fitToHeight="0" fitToWidth="1" horizontalDpi="600" verticalDpi="600" orientation="landscape" paperSize="9" scale="98" r:id="rId1"/>
  <headerFooter alignWithMargins="0">
    <oddHeader>&amp;RPage :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178" zoomScaleSheetLayoutView="178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1" sqref="B21"/>
    </sheetView>
  </sheetViews>
  <sheetFormatPr defaultColWidth="9.33203125" defaultRowHeight="18" customHeight="1"/>
  <cols>
    <col min="1" max="1" width="36.83203125" style="59" customWidth="1"/>
    <col min="2" max="2" width="36.83203125" style="60" customWidth="1"/>
    <col min="3" max="3" width="8" style="59" customWidth="1"/>
    <col min="4" max="4" width="5" style="60" customWidth="1"/>
    <col min="5" max="8" width="18.83203125" style="59" customWidth="1"/>
    <col min="9" max="9" width="10" style="59" customWidth="1"/>
    <col min="10" max="10" width="9.33203125" style="59" customWidth="1"/>
    <col min="11" max="16384" width="9.33203125" style="59" customWidth="1"/>
  </cols>
  <sheetData>
    <row r="1" spans="1:9" ht="30" customHeight="1">
      <c r="A1" s="136" t="s">
        <v>214</v>
      </c>
      <c r="B1" s="136"/>
      <c r="C1" s="136"/>
      <c r="D1" s="136"/>
      <c r="E1" s="136"/>
      <c r="F1" s="136"/>
      <c r="G1" s="136"/>
      <c r="H1" s="136"/>
      <c r="I1" s="136"/>
    </row>
    <row r="2" ht="19.5" customHeight="1">
      <c r="A2" s="59" t="str">
        <f>원가계산서!A2</f>
        <v>▣ 공 사 명 : 분당 서현 청소년수련관 옥상 조경 공사</v>
      </c>
    </row>
    <row r="3" spans="1:9" ht="19.5" customHeight="1">
      <c r="A3" s="50" t="s">
        <v>21</v>
      </c>
      <c r="B3" s="50" t="s">
        <v>51</v>
      </c>
      <c r="C3" s="50" t="s">
        <v>2</v>
      </c>
      <c r="D3" s="50" t="s">
        <v>120</v>
      </c>
      <c r="E3" s="50" t="s">
        <v>124</v>
      </c>
      <c r="F3" s="50" t="s">
        <v>86</v>
      </c>
      <c r="G3" s="50" t="s">
        <v>55</v>
      </c>
      <c r="H3" s="50" t="s">
        <v>8</v>
      </c>
      <c r="I3" s="62" t="s">
        <v>36</v>
      </c>
    </row>
    <row r="4" spans="1:9" ht="19.5" customHeight="1">
      <c r="A4" s="53" t="str">
        <f>일위대가_호표!A5</f>
        <v>No.1 황금측백 식재</v>
      </c>
      <c r="B4" s="65" t="str">
        <f>일위대가_호표!B5</f>
        <v>H0.6XW0.4</v>
      </c>
      <c r="C4" s="51">
        <v>1</v>
      </c>
      <c r="D4" s="65" t="str">
        <f>일위대가_호표!D5</f>
        <v>주</v>
      </c>
      <c r="E4" s="53">
        <f>F4+G4+H4</f>
        <v>36278</v>
      </c>
      <c r="F4" s="53">
        <f>일위대가_호표!H5</f>
        <v>12600</v>
      </c>
      <c r="G4" s="53">
        <f>일위대가_호표!J5</f>
        <v>23678</v>
      </c>
      <c r="H4" s="53">
        <f>일위대가_호표!L5</f>
        <v>0</v>
      </c>
      <c r="I4" s="54" t="s">
        <v>129</v>
      </c>
    </row>
    <row r="5" spans="1:9" ht="19.5" customHeight="1">
      <c r="A5" s="53" t="str">
        <f>일위대가_호표!A9</f>
        <v>No.2 블루엔젤 식재</v>
      </c>
      <c r="B5" s="65" t="str">
        <f>일위대가_호표!B9</f>
        <v>H2.0XW0.6</v>
      </c>
      <c r="C5" s="51">
        <v>1</v>
      </c>
      <c r="D5" s="65" t="str">
        <f>일위대가_호표!D9</f>
        <v>주</v>
      </c>
      <c r="E5" s="53">
        <f>F5+G5+H5</f>
        <v>330535</v>
      </c>
      <c r="F5" s="53">
        <f>일위대가_호표!H9</f>
        <v>294000</v>
      </c>
      <c r="G5" s="53">
        <f>일위대가_호표!J9</f>
        <v>36535</v>
      </c>
      <c r="H5" s="53">
        <f>일위대가_호표!L9</f>
        <v>0</v>
      </c>
      <c r="I5" s="54" t="s">
        <v>129</v>
      </c>
    </row>
    <row r="6" spans="1:9" ht="19.5" customHeight="1">
      <c r="A6" s="53" t="str">
        <f>일위대가_호표!A13</f>
        <v>No.3 공조팝 식재</v>
      </c>
      <c r="B6" s="65" t="str">
        <f>일위대가_호표!B13</f>
        <v>H0.6XW0.3</v>
      </c>
      <c r="C6" s="58" t="s">
        <v>194</v>
      </c>
      <c r="D6" s="65" t="str">
        <f>일위대가_호표!D13</f>
        <v>주</v>
      </c>
      <c r="E6" s="53">
        <f>F6+G6+H6</f>
        <v>4712</v>
      </c>
      <c r="F6" s="53">
        <f>일위대가_호표!H13</f>
        <v>2205</v>
      </c>
      <c r="G6" s="53">
        <f>일위대가_호표!J13</f>
        <v>2507</v>
      </c>
      <c r="H6" s="53">
        <f>일위대가_호표!L13</f>
        <v>0</v>
      </c>
      <c r="I6" s="54"/>
    </row>
    <row r="7" spans="1:10" ht="19.5" customHeight="1">
      <c r="A7" s="53" t="str">
        <f>일위대가_호표!A17</f>
        <v>No.4 사초류 식재</v>
      </c>
      <c r="B7" s="65" t="str">
        <f>일위대가_호표!B17</f>
        <v>7치포트 이상</v>
      </c>
      <c r="C7" s="51">
        <v>1</v>
      </c>
      <c r="D7" s="65" t="str">
        <f>일위대가_호표!D17</f>
        <v>본</v>
      </c>
      <c r="E7" s="53">
        <f aca="true" t="shared" si="0" ref="E7:E29">F7+G7+H7</f>
        <v>20380</v>
      </c>
      <c r="F7" s="53">
        <f>일위대가_호표!H17</f>
        <v>19950</v>
      </c>
      <c r="G7" s="53">
        <f>일위대가_호표!J17</f>
        <v>430</v>
      </c>
      <c r="H7" s="53">
        <f>일위대가_호표!L17</f>
        <v>0</v>
      </c>
      <c r="I7" s="54" t="s">
        <v>129</v>
      </c>
      <c r="J7" s="59" t="s">
        <v>129</v>
      </c>
    </row>
    <row r="8" spans="1:10" ht="19.5" customHeight="1">
      <c r="A8" s="53" t="str">
        <f>일위대가_호표!A21</f>
        <v>No.5 억새 식재</v>
      </c>
      <c r="B8" s="65" t="str">
        <f>일위대가_호표!B21</f>
        <v>7치포트 이상</v>
      </c>
      <c r="C8" s="51">
        <v>1</v>
      </c>
      <c r="D8" s="65" t="str">
        <f>일위대가_호표!D21</f>
        <v>본</v>
      </c>
      <c r="E8" s="53">
        <f t="shared" si="0"/>
        <v>19330</v>
      </c>
      <c r="F8" s="53">
        <f>일위대가_호표!H21</f>
        <v>18900</v>
      </c>
      <c r="G8" s="53">
        <f>일위대가_호표!J21</f>
        <v>430</v>
      </c>
      <c r="H8" s="53">
        <f>일위대가_호표!L21</f>
        <v>0</v>
      </c>
      <c r="I8" s="54" t="s">
        <v>129</v>
      </c>
      <c r="J8" s="59" t="s">
        <v>129</v>
      </c>
    </row>
    <row r="9" spans="1:9" ht="19.5" customHeight="1">
      <c r="A9" s="53" t="str">
        <f>일위대가_호표!A25</f>
        <v>No.6 수호초 식재</v>
      </c>
      <c r="B9" s="65" t="str">
        <f>일위대가_호표!B25</f>
        <v>10cm</v>
      </c>
      <c r="C9" s="51">
        <v>1</v>
      </c>
      <c r="D9" s="65" t="str">
        <f>일위대가_호표!D25</f>
        <v>본</v>
      </c>
      <c r="E9" s="53">
        <f>F9+G9+H9</f>
        <v>3055</v>
      </c>
      <c r="F9" s="53">
        <f>일위대가_호표!H25</f>
        <v>2625</v>
      </c>
      <c r="G9" s="53">
        <f>일위대가_호표!J25</f>
        <v>430</v>
      </c>
      <c r="H9" s="53"/>
      <c r="I9" s="54" t="s">
        <v>129</v>
      </c>
    </row>
    <row r="10" spans="1:10" ht="19.5" customHeight="1">
      <c r="A10" s="53" t="str">
        <f>일위대가_호표!A29</f>
        <v>No.7 구절초 식재</v>
      </c>
      <c r="B10" s="65" t="str">
        <f>일위대가_호표!B29</f>
        <v>10cm</v>
      </c>
      <c r="C10" s="51">
        <v>1</v>
      </c>
      <c r="D10" s="65" t="str">
        <f>일위대가_호표!D29</f>
        <v>본</v>
      </c>
      <c r="E10" s="53">
        <f t="shared" si="0"/>
        <v>2530</v>
      </c>
      <c r="F10" s="53">
        <f>일위대가_호표!H29</f>
        <v>2100</v>
      </c>
      <c r="G10" s="53">
        <f>일위대가_호표!J29</f>
        <v>430</v>
      </c>
      <c r="H10" s="53"/>
      <c r="I10" s="54" t="s">
        <v>129</v>
      </c>
      <c r="J10" s="59" t="s">
        <v>129</v>
      </c>
    </row>
    <row r="11" spans="1:9" ht="19.5" customHeight="1">
      <c r="A11" s="53" t="str">
        <f>일위대가_호표!A33</f>
        <v>No.8 지면패랭이(꽃잔디) 식재</v>
      </c>
      <c r="B11" s="65" t="str">
        <f>일위대가_호표!B33</f>
        <v>10cm</v>
      </c>
      <c r="C11" s="51">
        <v>1</v>
      </c>
      <c r="D11" s="65" t="str">
        <f>일위대가_호표!D33</f>
        <v>본</v>
      </c>
      <c r="E11" s="53">
        <f>F11+G11+H11</f>
        <v>1690</v>
      </c>
      <c r="F11" s="53">
        <f>일위대가_호표!H33</f>
        <v>1260</v>
      </c>
      <c r="G11" s="53">
        <f>일위대가_호표!J33</f>
        <v>430</v>
      </c>
      <c r="H11" s="53">
        <f>일위대가_호표!L33</f>
        <v>0</v>
      </c>
      <c r="I11" s="54" t="s">
        <v>129</v>
      </c>
    </row>
    <row r="12" spans="1:10" ht="19.5" customHeight="1">
      <c r="A12" s="53" t="str">
        <f>일위대가_호표!A37</f>
        <v>No.9 세덤류(album,spurium,reflexum 등)</v>
      </c>
      <c r="B12" s="65" t="str">
        <f>일위대가_호표!B37</f>
        <v>8cm</v>
      </c>
      <c r="C12" s="51">
        <v>1</v>
      </c>
      <c r="D12" s="65" t="str">
        <f>일위대가_호표!D37</f>
        <v>본</v>
      </c>
      <c r="E12" s="53">
        <f t="shared" si="0"/>
        <v>1480</v>
      </c>
      <c r="F12" s="53">
        <f>일위대가_호표!H37</f>
        <v>1050</v>
      </c>
      <c r="G12" s="53">
        <f>일위대가_호표!J37</f>
        <v>430</v>
      </c>
      <c r="H12" s="53"/>
      <c r="I12" s="54" t="s">
        <v>129</v>
      </c>
      <c r="J12" s="59" t="s">
        <v>129</v>
      </c>
    </row>
    <row r="13" spans="1:10" ht="19.5" customHeight="1">
      <c r="A13" s="53" t="str">
        <f>일위대가_호표!A41</f>
        <v>No.10 배수판설치</v>
      </c>
      <c r="B13" s="65" t="str">
        <f>일위대가_호표!B41</f>
        <v>T=30, 부직포 포함</v>
      </c>
      <c r="C13" s="51">
        <v>1</v>
      </c>
      <c r="D13" s="65" t="str">
        <f>일위대가_호표!D41</f>
        <v>m2</v>
      </c>
      <c r="E13" s="53">
        <f t="shared" si="0"/>
        <v>18465</v>
      </c>
      <c r="F13" s="53">
        <f>일위대가_호표!H41</f>
        <v>11375</v>
      </c>
      <c r="G13" s="53">
        <f>일위대가_호표!J41</f>
        <v>7090</v>
      </c>
      <c r="H13" s="53">
        <f>일위대가_호표!L41</f>
        <v>0</v>
      </c>
      <c r="I13" s="54" t="s">
        <v>129</v>
      </c>
      <c r="J13" s="59" t="s">
        <v>129</v>
      </c>
    </row>
    <row r="14" spans="1:10" ht="19.5" customHeight="1">
      <c r="A14" s="53" t="str">
        <f>일위대가_호표!A47</f>
        <v>No.11 혼합토 포설 및 다짐</v>
      </c>
      <c r="B14" s="65" t="str">
        <f>일위대가_호표!B47</f>
        <v>인공토:보통토사(1:1)</v>
      </c>
      <c r="C14" s="51">
        <v>1</v>
      </c>
      <c r="D14" s="65" t="str">
        <f>일위대가_호표!D47</f>
        <v>m3</v>
      </c>
      <c r="E14" s="53">
        <f t="shared" si="0"/>
        <v>61141</v>
      </c>
      <c r="F14" s="53">
        <f>일위대가_호표!H47</f>
        <v>51125</v>
      </c>
      <c r="G14" s="53">
        <f>일위대가_호표!J47</f>
        <v>10016</v>
      </c>
      <c r="H14" s="53">
        <f>일위대가_호표!L47</f>
        <v>0</v>
      </c>
      <c r="I14" s="54" t="s">
        <v>129</v>
      </c>
      <c r="J14" s="59" t="s">
        <v>129</v>
      </c>
    </row>
    <row r="15" spans="1:10" ht="19.5" customHeight="1">
      <c r="A15" s="53" t="str">
        <f>일위대가_호표!A53</f>
        <v>No.12 유기질 토양걔량제</v>
      </c>
      <c r="B15" s="65" t="str">
        <f>일위대가_호표!B53</f>
        <v>20kg</v>
      </c>
      <c r="C15" s="51">
        <v>1</v>
      </c>
      <c r="D15" s="65" t="str">
        <f>일위대가_호표!D53</f>
        <v>포</v>
      </c>
      <c r="E15" s="53">
        <f t="shared" si="0"/>
        <v>10000</v>
      </c>
      <c r="F15" s="53">
        <f>일위대가_호표!H53</f>
        <v>10000</v>
      </c>
      <c r="G15" s="53">
        <f>일위대가_호표!J53</f>
        <v>0</v>
      </c>
      <c r="H15" s="53">
        <f>일위대가_호표!L53</f>
        <v>0</v>
      </c>
      <c r="I15" s="54" t="s">
        <v>129</v>
      </c>
      <c r="J15" s="59" t="s">
        <v>129</v>
      </c>
    </row>
    <row r="16" spans="1:9" ht="19.5" customHeight="1">
      <c r="A16" s="53" t="str">
        <f>일위대가_호표!A56</f>
        <v>No.13 루프엣지</v>
      </c>
      <c r="B16" s="65" t="str">
        <f>일위대가_호표!B56</f>
        <v>H230, 텃밭용</v>
      </c>
      <c r="C16" s="51">
        <v>1</v>
      </c>
      <c r="D16" s="65" t="str">
        <f>일위대가_호표!D56</f>
        <v>M</v>
      </c>
      <c r="E16" s="53">
        <f>F16+G16+H16</f>
        <v>77456</v>
      </c>
      <c r="F16" s="53">
        <f>일위대가_호표!H56</f>
        <v>39528</v>
      </c>
      <c r="G16" s="53">
        <f>일위대가_호표!J56</f>
        <v>37396</v>
      </c>
      <c r="H16" s="53">
        <f>일위대가_호표!L56</f>
        <v>532</v>
      </c>
      <c r="I16" s="54"/>
    </row>
    <row r="17" spans="1:9" ht="19.5" customHeight="1">
      <c r="A17" s="53" t="str">
        <f>일위대가_호표!A68</f>
        <v>No.14 플랜트</v>
      </c>
      <c r="B17" s="65" t="str">
        <f>일위대가_호표!B68</f>
        <v>H650</v>
      </c>
      <c r="C17" s="51">
        <v>1</v>
      </c>
      <c r="D17" s="65" t="str">
        <f>일위대가_호표!D68</f>
        <v>M</v>
      </c>
      <c r="E17" s="53">
        <f>F17+G17+H17</f>
        <v>272564</v>
      </c>
      <c r="F17" s="53">
        <f>일위대가_호표!H68</f>
        <v>66406</v>
      </c>
      <c r="G17" s="53">
        <f>일위대가_호표!J68</f>
        <v>204171</v>
      </c>
      <c r="H17" s="53">
        <f>일위대가_호표!L68</f>
        <v>1987</v>
      </c>
      <c r="I17" s="54"/>
    </row>
    <row r="18" spans="1:9" ht="19.5" customHeight="1">
      <c r="A18" s="53" t="str">
        <f>일위대가_호표!A74</f>
        <v>No.15 플랜트</v>
      </c>
      <c r="B18" s="65" t="str">
        <f>일위대가_호표!B74</f>
        <v>H250</v>
      </c>
      <c r="C18" s="51">
        <v>1</v>
      </c>
      <c r="D18" s="65" t="str">
        <f>일위대가_호표!D74</f>
        <v>M</v>
      </c>
      <c r="E18" s="53">
        <f>F18+G18+H18</f>
        <v>71760</v>
      </c>
      <c r="F18" s="53">
        <f>일위대가_호표!H74</f>
        <v>17235</v>
      </c>
      <c r="G18" s="53">
        <f>일위대가_호표!J74</f>
        <v>54164</v>
      </c>
      <c r="H18" s="53">
        <f>일위대가_호표!L74</f>
        <v>361</v>
      </c>
      <c r="I18" s="54"/>
    </row>
    <row r="19" spans="1:9" ht="19.5" customHeight="1">
      <c r="A19" s="53" t="str">
        <f>일위대가_호표!A80</f>
        <v>No.16 배수용 관통 슬리브</v>
      </c>
      <c r="B19" s="65" t="str">
        <f>일위대가_호표!B80</f>
        <v>D50, PVC관, L350</v>
      </c>
      <c r="C19" s="51">
        <v>1</v>
      </c>
      <c r="D19" s="65" t="str">
        <f>일위대가_호표!D80</f>
        <v>개소</v>
      </c>
      <c r="E19" s="53">
        <f>F19+G19+H19</f>
        <v>6493</v>
      </c>
      <c r="F19" s="53">
        <f>일위대가_호표!H80</f>
        <v>1038</v>
      </c>
      <c r="G19" s="53">
        <f>일위대가_호표!J80</f>
        <v>5455</v>
      </c>
      <c r="H19" s="53">
        <f>일위대가_호표!L80</f>
        <v>0</v>
      </c>
      <c r="I19" s="54"/>
    </row>
    <row r="20" spans="1:10" ht="19.5" customHeight="1">
      <c r="A20" s="53" t="str">
        <f>일위대가_호표!A85</f>
        <v>No.17 혼합토, 수목 및 자재 인양</v>
      </c>
      <c r="B20" s="65" t="str">
        <f>일위대가_호표!B85</f>
        <v>인공토:보통토사(1:1)</v>
      </c>
      <c r="C20" s="51">
        <v>1</v>
      </c>
      <c r="D20" s="65" t="str">
        <f>일위대가_호표!D85</f>
        <v>회</v>
      </c>
      <c r="E20" s="53">
        <f t="shared" si="0"/>
        <v>2800000</v>
      </c>
      <c r="F20" s="53">
        <f>일위대가_호표!H85</f>
        <v>0</v>
      </c>
      <c r="G20" s="53">
        <f>일위대가_호표!J85</f>
        <v>0</v>
      </c>
      <c r="H20" s="53">
        <f>일위대가_호표!L85</f>
        <v>2800000</v>
      </c>
      <c r="I20" s="54" t="s">
        <v>129</v>
      </c>
      <c r="J20" s="59" t="s">
        <v>129</v>
      </c>
    </row>
    <row r="21" spans="1:9" ht="19.5" customHeight="1">
      <c r="A21" s="53" t="str">
        <f>일위대가_호표!A88</f>
        <v>No.18 수고식재</v>
      </c>
      <c r="B21" s="65" t="str">
        <f>일위대가_호표!B88</f>
        <v>H1.0m 이하</v>
      </c>
      <c r="C21" s="51">
        <v>1</v>
      </c>
      <c r="D21" s="65" t="str">
        <f>일위대가_호표!D88</f>
        <v>주</v>
      </c>
      <c r="E21" s="53">
        <f>F21+G21+H21</f>
        <v>23678</v>
      </c>
      <c r="F21" s="53">
        <f>일위대가_호표!H88</f>
        <v>0</v>
      </c>
      <c r="G21" s="53">
        <f>일위대가_호표!J88</f>
        <v>23678</v>
      </c>
      <c r="H21" s="53">
        <f>일위대가_호표!L88</f>
        <v>0</v>
      </c>
      <c r="I21" s="54" t="s">
        <v>129</v>
      </c>
    </row>
    <row r="22" spans="1:10" ht="19.5" customHeight="1">
      <c r="A22" s="53" t="str">
        <f>일위대가_호표!A92</f>
        <v>No.19 수고식재</v>
      </c>
      <c r="B22" s="65" t="str">
        <f>일위대가_호표!B92</f>
        <v>H1.6~2.0m</v>
      </c>
      <c r="C22" s="51">
        <v>1</v>
      </c>
      <c r="D22" s="65" t="str">
        <f>일위대가_호표!D92</f>
        <v>주</v>
      </c>
      <c r="E22" s="53">
        <f t="shared" si="0"/>
        <v>36535</v>
      </c>
      <c r="F22" s="53">
        <f>일위대가_호표!H92</f>
        <v>0</v>
      </c>
      <c r="G22" s="53">
        <f>일위대가_호표!J92</f>
        <v>36535</v>
      </c>
      <c r="H22" s="53">
        <f>일위대가_호표!L96</f>
        <v>0</v>
      </c>
      <c r="I22" s="54" t="s">
        <v>129</v>
      </c>
      <c r="J22" s="59" t="s">
        <v>129</v>
      </c>
    </row>
    <row r="23" spans="1:9" ht="19.5" customHeight="1">
      <c r="A23" s="53" t="str">
        <f>일위대가_호표!A96</f>
        <v>No.20 관목군식식재</v>
      </c>
      <c r="B23" s="65" t="str">
        <f>일위대가_호표!B96</f>
        <v>H0.3~0.7m</v>
      </c>
      <c r="C23" s="58" t="s">
        <v>194</v>
      </c>
      <c r="D23" s="65" t="str">
        <f>일위대가_호표!D96</f>
        <v>주</v>
      </c>
      <c r="E23" s="53">
        <f t="shared" si="0"/>
        <v>2507</v>
      </c>
      <c r="F23" s="53">
        <f>일위대가_호표!H96</f>
        <v>0</v>
      </c>
      <c r="G23" s="53">
        <f>일위대가_호표!J96</f>
        <v>2507</v>
      </c>
      <c r="H23" s="53"/>
      <c r="I23" s="54"/>
    </row>
    <row r="24" spans="1:10" ht="19.5" customHeight="1">
      <c r="A24" s="53" t="str">
        <f>일위대가_호표!A100</f>
        <v>No.21 초화류식재(보통)</v>
      </c>
      <c r="B24" s="65" t="str">
        <f>일위대가_호표!B100</f>
        <v>0.3미만</v>
      </c>
      <c r="C24" s="51">
        <v>1</v>
      </c>
      <c r="D24" s="65" t="str">
        <f>일위대가_호표!D100</f>
        <v>본</v>
      </c>
      <c r="E24" s="53">
        <f t="shared" si="0"/>
        <v>430</v>
      </c>
      <c r="F24" s="53">
        <f>일위대가_호표!H100</f>
        <v>0</v>
      </c>
      <c r="G24" s="53">
        <f>일위대가_호표!J100</f>
        <v>430</v>
      </c>
      <c r="H24" s="53">
        <f>일위대가_호표!L100</f>
        <v>0</v>
      </c>
      <c r="I24" s="54" t="s">
        <v>129</v>
      </c>
      <c r="J24" s="59" t="s">
        <v>129</v>
      </c>
    </row>
    <row r="25" spans="1:9" ht="19.5" customHeight="1">
      <c r="A25" s="53" t="str">
        <f>일위대가_호표!A104</f>
        <v>No.22 잡철물 제작 및 설치(현장제작 설치_경량철재)</v>
      </c>
      <c r="B25" s="65" t="str">
        <f>일위대가_호표!B104</f>
        <v>표준품셈 8-3-1 잡철물 제작 및 설치('07, '22년 보완)</v>
      </c>
      <c r="C25" s="51">
        <v>1</v>
      </c>
      <c r="D25" s="65" t="str">
        <f>일위대가_호표!D104</f>
        <v>ton</v>
      </c>
      <c r="E25" s="53">
        <f t="shared" si="0"/>
        <v>6679852</v>
      </c>
      <c r="F25" s="53">
        <f>일위대가_호표!H104</f>
        <v>126034</v>
      </c>
      <c r="G25" s="53">
        <f>일위대가_호표!J104</f>
        <v>6301749</v>
      </c>
      <c r="H25" s="53">
        <f>일위대가_호표!L104</f>
        <v>252069</v>
      </c>
      <c r="I25" s="54"/>
    </row>
    <row r="26" spans="1:9" ht="19.5" customHeight="1">
      <c r="A26" s="53" t="str">
        <f>일위대가_호표!A112</f>
        <v>No.23 콘크리트벽돌쌓기 (토목,조경)</v>
      </c>
      <c r="B26" s="65" t="str">
        <f>일위대가_호표!B112</f>
        <v>(1.0B, 3.6m이하)</v>
      </c>
      <c r="C26" s="51">
        <v>1</v>
      </c>
      <c r="D26" s="65" t="str">
        <f>일위대가_호표!D112</f>
        <v>m2</v>
      </c>
      <c r="E26" s="53">
        <f t="shared" si="0"/>
        <v>77948</v>
      </c>
      <c r="F26" s="53">
        <f>일위대가_호표!H112</f>
        <v>16235</v>
      </c>
      <c r="G26" s="53">
        <f>일위대가_호표!J112</f>
        <v>60603</v>
      </c>
      <c r="H26" s="53">
        <f>일위대가_호표!L112</f>
        <v>1110</v>
      </c>
      <c r="I26" s="54"/>
    </row>
    <row r="27" spans="1:9" ht="19.5" customHeight="1">
      <c r="A27" s="53" t="str">
        <f>일위대가_호표!A119</f>
        <v>No.24 점토벽돌일면치장쌓기(건조모르타르 포함, 3.6M 이하, 단열재 무)</v>
      </c>
      <c r="B27" s="65" t="str">
        <f>일위대가_호표!B119</f>
        <v>(기본형 0.5B 등)</v>
      </c>
      <c r="C27" s="51">
        <v>1</v>
      </c>
      <c r="D27" s="65" t="str">
        <f>일위대가_호표!D119</f>
        <v>m2</v>
      </c>
      <c r="E27" s="53">
        <f t="shared" si="0"/>
        <v>89684</v>
      </c>
      <c r="F27" s="53">
        <f>일위대가_호표!H119</f>
        <v>25834</v>
      </c>
      <c r="G27" s="53">
        <f>일위대가_호표!J119</f>
        <v>62700</v>
      </c>
      <c r="H27" s="53">
        <f>일위대가_호표!L119</f>
        <v>1150</v>
      </c>
      <c r="I27" s="54"/>
    </row>
    <row r="28" spans="1:9" ht="19.5" customHeight="1">
      <c r="A28" s="53" t="str">
        <f>일위대가_호표!A130</f>
        <v>No.25 점토벽돌 옆세워깔기</v>
      </c>
      <c r="B28" s="65">
        <f>일위대가_호표!B130</f>
        <v>0</v>
      </c>
      <c r="C28" s="51">
        <v>1</v>
      </c>
      <c r="D28" s="65" t="str">
        <f>일위대가_호표!D130</f>
        <v>m2</v>
      </c>
      <c r="E28" s="53">
        <f t="shared" si="0"/>
        <v>84921</v>
      </c>
      <c r="F28" s="53">
        <f>일위대가_호표!H130</f>
        <v>25400</v>
      </c>
      <c r="G28" s="53">
        <f>일위대가_호표!J130</f>
        <v>59521</v>
      </c>
      <c r="H28" s="53">
        <f>일위대가_호표!L130</f>
        <v>0</v>
      </c>
      <c r="I28" s="54"/>
    </row>
    <row r="29" spans="1:9" ht="19.5" customHeight="1">
      <c r="A29" s="53" t="str">
        <f>일위대가_호표!A137</f>
        <v>No.26 시멘트액체방수(1종)-급결액 포함(토목)</v>
      </c>
      <c r="B29" s="65">
        <f>일위대가_호표!B137</f>
        <v>0</v>
      </c>
      <c r="C29" s="51">
        <v>1</v>
      </c>
      <c r="D29" s="65" t="str">
        <f>일위대가_호표!D137</f>
        <v>m2</v>
      </c>
      <c r="E29" s="53">
        <f t="shared" si="0"/>
        <v>40505</v>
      </c>
      <c r="F29" s="53">
        <f>일위대가_호표!H137</f>
        <v>5062</v>
      </c>
      <c r="G29" s="53">
        <f>일위대가_호표!J137</f>
        <v>35443</v>
      </c>
      <c r="H29" s="53">
        <f>일위대가_호표!L137</f>
        <v>0</v>
      </c>
      <c r="I29" s="54"/>
    </row>
    <row r="30" spans="1:9" ht="19.5" customHeight="1">
      <c r="A30" s="53" t="str">
        <f>일위대가_호표!A145</f>
        <v>No.27 모르터 배합(1:3)</v>
      </c>
      <c r="B30" s="65">
        <f>일위대가_호표!B145</f>
        <v>0</v>
      </c>
      <c r="C30" s="51">
        <v>1</v>
      </c>
      <c r="D30" s="65" t="str">
        <f>일위대가_호표!D145</f>
        <v>m3</v>
      </c>
      <c r="E30" s="53">
        <f>F30+G30+H30</f>
        <v>206944</v>
      </c>
      <c r="F30" s="53">
        <f>일위대가_호표!H145</f>
        <v>103280</v>
      </c>
      <c r="G30" s="53">
        <f>일위대가_호표!J145</f>
        <v>103664</v>
      </c>
      <c r="H30" s="53">
        <f>일위대가_호표!L145</f>
        <v>0</v>
      </c>
      <c r="I30" s="54"/>
    </row>
  </sheetData>
  <sheetProtection/>
  <mergeCells count="1">
    <mergeCell ref="A1:I1"/>
  </mergeCells>
  <printOptions horizontalCentered="1"/>
  <pageMargins left="0.5905511811023623" right="0.3937007874015748" top="0.5905511811023623" bottom="0.3937007874015748" header="0.3937007874015748" footer="0.3149606299212598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"/>
  <sheetViews>
    <sheetView view="pageBreakPreview" zoomScaleSheetLayoutView="100" zoomScalePageLayoutView="0" workbookViewId="0" topLeftCell="A1">
      <pane xSplit="4" ySplit="4" topLeftCell="E1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52" sqref="E152"/>
    </sheetView>
  </sheetViews>
  <sheetFormatPr defaultColWidth="9.33203125" defaultRowHeight="18" customHeight="1"/>
  <cols>
    <col min="1" max="1" width="26.83203125" style="49" customWidth="1"/>
    <col min="2" max="2" width="20" style="61" customWidth="1"/>
    <col min="3" max="3" width="8" style="49" customWidth="1"/>
    <col min="4" max="4" width="5" style="61" customWidth="1"/>
    <col min="5" max="12" width="13" style="49" customWidth="1"/>
    <col min="13" max="13" width="10.83203125" style="60" customWidth="1"/>
    <col min="14" max="46" width="9.33203125" style="49" customWidth="1"/>
    <col min="47" max="16384" width="9.33203125" style="49" customWidth="1"/>
  </cols>
  <sheetData>
    <row r="1" spans="1:13" ht="30" customHeight="1">
      <c r="A1" s="136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9.5" customHeight="1">
      <c r="A2" s="59" t="str">
        <f>원가계산서!A2</f>
        <v>▣ 공 사 명 : 분당 서현 청소년수련관 옥상 조경 공사</v>
      </c>
    </row>
    <row r="3" spans="1:13" ht="18" customHeight="1">
      <c r="A3" s="135" t="s">
        <v>21</v>
      </c>
      <c r="B3" s="135" t="s">
        <v>60</v>
      </c>
      <c r="C3" s="135" t="s">
        <v>72</v>
      </c>
      <c r="D3" s="135" t="s">
        <v>49</v>
      </c>
      <c r="E3" s="135" t="s">
        <v>124</v>
      </c>
      <c r="F3" s="135" t="s">
        <v>129</v>
      </c>
      <c r="G3" s="135" t="s">
        <v>86</v>
      </c>
      <c r="H3" s="135" t="s">
        <v>129</v>
      </c>
      <c r="I3" s="135" t="s">
        <v>55</v>
      </c>
      <c r="J3" s="135" t="s">
        <v>129</v>
      </c>
      <c r="K3" s="135" t="s">
        <v>8</v>
      </c>
      <c r="L3" s="135" t="s">
        <v>129</v>
      </c>
      <c r="M3" s="139" t="s">
        <v>36</v>
      </c>
    </row>
    <row r="4" spans="1:13" ht="18" customHeight="1">
      <c r="A4" s="135" t="s">
        <v>129</v>
      </c>
      <c r="B4" s="135" t="s">
        <v>129</v>
      </c>
      <c r="C4" s="135" t="s">
        <v>129</v>
      </c>
      <c r="D4" s="135" t="s">
        <v>129</v>
      </c>
      <c r="E4" s="50" t="s">
        <v>31</v>
      </c>
      <c r="F4" s="50" t="s">
        <v>19</v>
      </c>
      <c r="G4" s="50" t="s">
        <v>31</v>
      </c>
      <c r="H4" s="50" t="s">
        <v>19</v>
      </c>
      <c r="I4" s="50" t="s">
        <v>31</v>
      </c>
      <c r="J4" s="50" t="s">
        <v>19</v>
      </c>
      <c r="K4" s="50" t="s">
        <v>31</v>
      </c>
      <c r="L4" s="50" t="s">
        <v>19</v>
      </c>
      <c r="M4" s="139" t="s">
        <v>129</v>
      </c>
    </row>
    <row r="5" spans="1:13" ht="18" customHeight="1">
      <c r="A5" s="51" t="s">
        <v>365</v>
      </c>
      <c r="B5" s="56" t="s">
        <v>348</v>
      </c>
      <c r="C5" s="51">
        <v>1</v>
      </c>
      <c r="D5" s="56" t="s">
        <v>27</v>
      </c>
      <c r="E5" s="52"/>
      <c r="F5" s="53">
        <f>H5+J5+L5</f>
        <v>36278</v>
      </c>
      <c r="G5" s="52"/>
      <c r="H5" s="53">
        <f>SUM(H6:H7)</f>
        <v>12600</v>
      </c>
      <c r="I5" s="52"/>
      <c r="J5" s="53">
        <f>SUM(J6:J7)</f>
        <v>23678</v>
      </c>
      <c r="K5" s="52"/>
      <c r="L5" s="53">
        <f>SUM(L6:L7)</f>
        <v>0</v>
      </c>
      <c r="M5" s="57" t="s">
        <v>129</v>
      </c>
    </row>
    <row r="6" spans="1:48" ht="18" customHeight="1">
      <c r="A6" s="51" t="s">
        <v>349</v>
      </c>
      <c r="B6" s="56" t="s">
        <v>348</v>
      </c>
      <c r="C6" s="58" t="s">
        <v>188</v>
      </c>
      <c r="D6" s="56" t="s">
        <v>27</v>
      </c>
      <c r="E6" s="53">
        <f>G6+I6+K6</f>
        <v>12000</v>
      </c>
      <c r="F6" s="53">
        <f>H6+J6+L6</f>
        <v>12600</v>
      </c>
      <c r="G6" s="53">
        <v>12000</v>
      </c>
      <c r="H6" s="53">
        <f>TRUNC(G6*C6,0)</f>
        <v>12600</v>
      </c>
      <c r="I6" s="53">
        <v>0</v>
      </c>
      <c r="J6" s="53"/>
      <c r="K6" s="53">
        <v>0</v>
      </c>
      <c r="L6" s="53"/>
      <c r="M6" s="57" t="s">
        <v>350</v>
      </c>
      <c r="AV6" s="63" t="str">
        <f>HYPERLINK("#자재조서!A13","M2352018 →")</f>
        <v>M2352018 →</v>
      </c>
    </row>
    <row r="7" spans="1:48" ht="18" customHeight="1">
      <c r="A7" s="51" t="s">
        <v>180</v>
      </c>
      <c r="B7" s="56" t="s">
        <v>351</v>
      </c>
      <c r="C7" s="51">
        <v>1</v>
      </c>
      <c r="D7" s="56" t="s">
        <v>27</v>
      </c>
      <c r="E7" s="53">
        <f>G7+I7+K7</f>
        <v>23678</v>
      </c>
      <c r="F7" s="53">
        <f>H7+J7+L7</f>
        <v>23678</v>
      </c>
      <c r="G7" s="53"/>
      <c r="H7" s="53">
        <f>TRUNC(G7*C7,0)</f>
        <v>0</v>
      </c>
      <c r="I7" s="53">
        <f>일위대가목록!G21</f>
        <v>23678</v>
      </c>
      <c r="J7" s="53">
        <f>TRUNC(I7*C7,0)</f>
        <v>23678</v>
      </c>
      <c r="K7" s="53"/>
      <c r="L7" s="53">
        <f>TRUNC(K7*C7,0)</f>
        <v>0</v>
      </c>
      <c r="M7" s="57" t="s">
        <v>370</v>
      </c>
      <c r="AV7" s="63" t="str">
        <f>HYPERLINK("#일위대가목록!A28","PC_0442-212 →")</f>
        <v>PC_0442-212 →</v>
      </c>
    </row>
    <row r="8" spans="1:48" ht="18" customHeight="1">
      <c r="A8" s="51"/>
      <c r="B8" s="56"/>
      <c r="C8" s="51"/>
      <c r="D8" s="56"/>
      <c r="E8" s="53"/>
      <c r="F8" s="53"/>
      <c r="G8" s="53"/>
      <c r="H8" s="53"/>
      <c r="I8" s="53"/>
      <c r="J8" s="53"/>
      <c r="K8" s="53"/>
      <c r="L8" s="53"/>
      <c r="M8" s="57"/>
      <c r="AV8" s="63"/>
    </row>
    <row r="9" spans="1:13" ht="18" customHeight="1">
      <c r="A9" s="51" t="s">
        <v>329</v>
      </c>
      <c r="B9" s="56" t="s">
        <v>168</v>
      </c>
      <c r="C9" s="51">
        <v>1</v>
      </c>
      <c r="D9" s="56" t="s">
        <v>27</v>
      </c>
      <c r="E9" s="52"/>
      <c r="F9" s="53">
        <f>H9+J9+L9</f>
        <v>330535</v>
      </c>
      <c r="G9" s="52"/>
      <c r="H9" s="53">
        <f>SUM(H10:H11)</f>
        <v>294000</v>
      </c>
      <c r="I9" s="52"/>
      <c r="J9" s="53">
        <f>SUM(J10:J11)</f>
        <v>36535</v>
      </c>
      <c r="K9" s="52"/>
      <c r="L9" s="53">
        <f>SUM(L10:L11)</f>
        <v>0</v>
      </c>
      <c r="M9" s="57" t="s">
        <v>129</v>
      </c>
    </row>
    <row r="10" spans="1:48" ht="18" customHeight="1">
      <c r="A10" s="51" t="s">
        <v>182</v>
      </c>
      <c r="B10" s="56" t="s">
        <v>168</v>
      </c>
      <c r="C10" s="58" t="s">
        <v>188</v>
      </c>
      <c r="D10" s="56" t="s">
        <v>27</v>
      </c>
      <c r="E10" s="53">
        <f>G10+I10+K10</f>
        <v>280000</v>
      </c>
      <c r="F10" s="53">
        <f>H10+J10+L10</f>
        <v>294000</v>
      </c>
      <c r="G10" s="53">
        <v>280000</v>
      </c>
      <c r="H10" s="53">
        <f>TRUNC(G10*C10,0)</f>
        <v>294000</v>
      </c>
      <c r="I10" s="53">
        <v>0</v>
      </c>
      <c r="J10" s="53"/>
      <c r="K10" s="53">
        <v>0</v>
      </c>
      <c r="L10" s="53"/>
      <c r="M10" s="57" t="s">
        <v>354</v>
      </c>
      <c r="AV10" s="63" t="str">
        <f>HYPERLINK("#자재조서!A13","M2352017 →")</f>
        <v>M2352017 →</v>
      </c>
    </row>
    <row r="11" spans="1:48" ht="18" customHeight="1">
      <c r="A11" s="51" t="s">
        <v>180</v>
      </c>
      <c r="B11" s="56" t="s">
        <v>181</v>
      </c>
      <c r="C11" s="51">
        <v>1</v>
      </c>
      <c r="D11" s="56" t="s">
        <v>27</v>
      </c>
      <c r="E11" s="53">
        <f>G11+I11+K11</f>
        <v>36535</v>
      </c>
      <c r="F11" s="53">
        <f>H11+J11+L11</f>
        <v>36535</v>
      </c>
      <c r="G11" s="53"/>
      <c r="H11" s="53">
        <f>TRUNC(G11*C11,0)</f>
        <v>0</v>
      </c>
      <c r="I11" s="53">
        <f>일위대가목록!G22</f>
        <v>36535</v>
      </c>
      <c r="J11" s="53">
        <f>TRUNC(I11*C11,0)</f>
        <v>36535</v>
      </c>
      <c r="K11" s="53"/>
      <c r="L11" s="53">
        <f>TRUNC(K11*C11,0)</f>
        <v>0</v>
      </c>
      <c r="M11" s="57" t="s">
        <v>371</v>
      </c>
      <c r="AV11" s="63" t="str">
        <f>HYPERLINK("#일위대가목록!A28","PC_0442-212 →")</f>
        <v>PC_0442-212 →</v>
      </c>
    </row>
    <row r="12" spans="1:13" ht="18" customHeight="1">
      <c r="A12" s="52"/>
      <c r="B12" s="64"/>
      <c r="C12" s="52"/>
      <c r="D12" s="64"/>
      <c r="E12" s="52"/>
      <c r="F12" s="52"/>
      <c r="G12" s="52"/>
      <c r="H12" s="52"/>
      <c r="I12" s="52"/>
      <c r="J12" s="52"/>
      <c r="K12" s="52"/>
      <c r="L12" s="52"/>
      <c r="M12" s="105"/>
    </row>
    <row r="13" spans="1:13" ht="18" customHeight="1">
      <c r="A13" s="51" t="s">
        <v>377</v>
      </c>
      <c r="B13" s="56" t="s">
        <v>378</v>
      </c>
      <c r="C13" s="51">
        <v>1</v>
      </c>
      <c r="D13" s="56" t="s">
        <v>27</v>
      </c>
      <c r="E13" s="52"/>
      <c r="F13" s="53">
        <f>H13+J13+L13</f>
        <v>4712</v>
      </c>
      <c r="G13" s="52"/>
      <c r="H13" s="53">
        <f>SUM(H14:H15)</f>
        <v>2205</v>
      </c>
      <c r="I13" s="52"/>
      <c r="J13" s="53">
        <f>SUM(J14:J15)</f>
        <v>2507</v>
      </c>
      <c r="K13" s="52"/>
      <c r="L13" s="53">
        <f>SUM(L14:L15)</f>
        <v>0</v>
      </c>
      <c r="M13" s="57" t="s">
        <v>129</v>
      </c>
    </row>
    <row r="14" spans="1:48" ht="18" customHeight="1">
      <c r="A14" s="51" t="s">
        <v>379</v>
      </c>
      <c r="B14" s="56" t="s">
        <v>378</v>
      </c>
      <c r="C14" s="58" t="s">
        <v>188</v>
      </c>
      <c r="D14" s="56" t="s">
        <v>27</v>
      </c>
      <c r="E14" s="53">
        <f>G14+I14+K14</f>
        <v>2100</v>
      </c>
      <c r="F14" s="53">
        <f>H14+J14+L14</f>
        <v>2205</v>
      </c>
      <c r="G14" s="53">
        <v>2100</v>
      </c>
      <c r="H14" s="53">
        <f>TRUNC(G14*C14,0)</f>
        <v>2205</v>
      </c>
      <c r="I14" s="53">
        <v>0</v>
      </c>
      <c r="J14" s="53"/>
      <c r="K14" s="53">
        <v>0</v>
      </c>
      <c r="L14" s="53"/>
      <c r="M14" s="57" t="s">
        <v>354</v>
      </c>
      <c r="AV14" s="63" t="str">
        <f>HYPERLINK("#자재조서!A11","M2133203 →")</f>
        <v>M2133203 →</v>
      </c>
    </row>
    <row r="15" spans="1:48" ht="18" customHeight="1">
      <c r="A15" s="51" t="s">
        <v>380</v>
      </c>
      <c r="B15" s="56" t="s">
        <v>381</v>
      </c>
      <c r="C15" s="51">
        <v>1</v>
      </c>
      <c r="D15" s="56" t="s">
        <v>27</v>
      </c>
      <c r="E15" s="53">
        <f>G15+I15+K15</f>
        <v>2507</v>
      </c>
      <c r="F15" s="53">
        <f>H15+J15+L15</f>
        <v>2507</v>
      </c>
      <c r="G15" s="53"/>
      <c r="H15" s="53">
        <f>TRUNC(G15*C15,0)</f>
        <v>0</v>
      </c>
      <c r="I15" s="53">
        <f>일위대가목록!G23</f>
        <v>2507</v>
      </c>
      <c r="J15" s="53">
        <f>TRUNC(I15*C15,0)</f>
        <v>2507</v>
      </c>
      <c r="K15" s="53">
        <f>'[1]일위대가목록'!H15</f>
        <v>0</v>
      </c>
      <c r="L15" s="53">
        <f>TRUNC(K15*C15,0)</f>
        <v>0</v>
      </c>
      <c r="M15" s="57" t="s">
        <v>372</v>
      </c>
      <c r="AV15" s="63" t="str">
        <f>HYPERLINK("#일위대가목록!A17","PC_0432-230 →")</f>
        <v>PC_0432-230 →</v>
      </c>
    </row>
    <row r="16" spans="1:13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18" customHeight="1">
      <c r="A17" s="51" t="s">
        <v>387</v>
      </c>
      <c r="B17" s="56" t="s">
        <v>352</v>
      </c>
      <c r="C17" s="51">
        <v>1</v>
      </c>
      <c r="D17" s="56" t="s">
        <v>170</v>
      </c>
      <c r="E17" s="52"/>
      <c r="F17" s="53">
        <f>H17+J17+L17</f>
        <v>20380</v>
      </c>
      <c r="G17" s="52"/>
      <c r="H17" s="53">
        <f>SUM(H18:H19)</f>
        <v>19950</v>
      </c>
      <c r="I17" s="52"/>
      <c r="J17" s="53">
        <f>SUM(J18:J19)</f>
        <v>430</v>
      </c>
      <c r="K17" s="52"/>
      <c r="L17" s="53">
        <f>SUM(L18:L19)</f>
        <v>0</v>
      </c>
      <c r="M17" s="57" t="s">
        <v>129</v>
      </c>
    </row>
    <row r="18" spans="1:48" ht="18" customHeight="1">
      <c r="A18" s="51" t="s">
        <v>353</v>
      </c>
      <c r="B18" s="56" t="s">
        <v>352</v>
      </c>
      <c r="C18" s="58" t="s">
        <v>188</v>
      </c>
      <c r="D18" s="56" t="s">
        <v>170</v>
      </c>
      <c r="E18" s="53">
        <f>G18+I18+K18</f>
        <v>19000</v>
      </c>
      <c r="F18" s="53">
        <f>H18+J18+L18</f>
        <v>19950</v>
      </c>
      <c r="G18" s="53">
        <v>19000</v>
      </c>
      <c r="H18" s="53">
        <f>TRUNC(G18*C18,0)</f>
        <v>19950</v>
      </c>
      <c r="I18" s="53">
        <v>0</v>
      </c>
      <c r="J18" s="53"/>
      <c r="K18" s="53">
        <v>0</v>
      </c>
      <c r="L18" s="53"/>
      <c r="M18" s="57" t="s">
        <v>350</v>
      </c>
      <c r="AV18" s="63" t="str">
        <f>HYPERLINK("#자재조서!A11","M2133203 →")</f>
        <v>M2133203 →</v>
      </c>
    </row>
    <row r="19" spans="1:48" ht="18" customHeight="1">
      <c r="A19" s="51" t="s">
        <v>184</v>
      </c>
      <c r="B19" s="56"/>
      <c r="C19" s="51">
        <v>1</v>
      </c>
      <c r="D19" s="56" t="s">
        <v>170</v>
      </c>
      <c r="E19" s="53">
        <f>G19+I19+K19</f>
        <v>430</v>
      </c>
      <c r="F19" s="53">
        <f>H19+J19+L19</f>
        <v>430</v>
      </c>
      <c r="G19" s="53"/>
      <c r="H19" s="53">
        <f>TRUNC(G19*C19,0)</f>
        <v>0</v>
      </c>
      <c r="I19" s="53">
        <f>일위대가목록!G24</f>
        <v>430</v>
      </c>
      <c r="J19" s="53">
        <f>TRUNC(I19*C19,0)</f>
        <v>430</v>
      </c>
      <c r="K19" s="53">
        <f>'[1]일위대가목록'!H19</f>
        <v>0</v>
      </c>
      <c r="L19" s="53">
        <f>TRUNC(K19*C19,0)</f>
        <v>0</v>
      </c>
      <c r="M19" s="57" t="s">
        <v>373</v>
      </c>
      <c r="AV19" s="63" t="str">
        <f>HYPERLINK("#일위대가목록!A17","PC_0432-230 →")</f>
        <v>PC_0432-230 →</v>
      </c>
    </row>
    <row r="20" spans="1:13" ht="18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18" customHeight="1">
      <c r="A21" s="51" t="s">
        <v>388</v>
      </c>
      <c r="B21" s="56" t="s">
        <v>352</v>
      </c>
      <c r="C21" s="51">
        <v>1</v>
      </c>
      <c r="D21" s="56" t="s">
        <v>170</v>
      </c>
      <c r="E21" s="52"/>
      <c r="F21" s="53">
        <f>H21+J21+L21</f>
        <v>19330</v>
      </c>
      <c r="G21" s="52"/>
      <c r="H21" s="53">
        <f>TRUNC(H22+H23,0)</f>
        <v>18900</v>
      </c>
      <c r="I21" s="52"/>
      <c r="J21" s="53">
        <f>TRUNC(J22+J23,0)</f>
        <v>430</v>
      </c>
      <c r="K21" s="52"/>
      <c r="L21" s="53">
        <f>TRUNC(L22+L23,0)</f>
        <v>0</v>
      </c>
      <c r="M21" s="57" t="s">
        <v>129</v>
      </c>
    </row>
    <row r="22" spans="1:48" ht="18" customHeight="1">
      <c r="A22" s="51" t="s">
        <v>355</v>
      </c>
      <c r="B22" s="56" t="s">
        <v>352</v>
      </c>
      <c r="C22" s="58" t="s">
        <v>188</v>
      </c>
      <c r="D22" s="56" t="s">
        <v>170</v>
      </c>
      <c r="E22" s="53">
        <f>G22+I22+K22</f>
        <v>18000</v>
      </c>
      <c r="F22" s="53">
        <f>H22+J22+L22</f>
        <v>18900</v>
      </c>
      <c r="G22" s="53">
        <v>18000</v>
      </c>
      <c r="H22" s="53">
        <f>TRUNC(G22*C22,0)</f>
        <v>18900</v>
      </c>
      <c r="I22" s="53">
        <v>0</v>
      </c>
      <c r="J22" s="53"/>
      <c r="K22" s="53">
        <v>0</v>
      </c>
      <c r="L22" s="53"/>
      <c r="M22" s="57" t="s">
        <v>350</v>
      </c>
      <c r="AV22" s="63" t="str">
        <f>HYPERLINK("#자재조서!A12","M2283002 →")</f>
        <v>M2283002 →</v>
      </c>
    </row>
    <row r="23" spans="1:48" ht="18" customHeight="1">
      <c r="A23" s="51" t="s">
        <v>184</v>
      </c>
      <c r="B23" s="56"/>
      <c r="C23" s="51">
        <v>1</v>
      </c>
      <c r="D23" s="56" t="s">
        <v>170</v>
      </c>
      <c r="E23" s="53">
        <f>G23+I23+K23</f>
        <v>430</v>
      </c>
      <c r="F23" s="53">
        <f>H23+J23+L23</f>
        <v>430</v>
      </c>
      <c r="G23" s="53"/>
      <c r="H23" s="53">
        <f>TRUNC(G23*C23,0)</f>
        <v>0</v>
      </c>
      <c r="I23" s="53">
        <f>일위대가목록!G24</f>
        <v>430</v>
      </c>
      <c r="J23" s="53">
        <f>TRUNC(I23*C23,0)</f>
        <v>430</v>
      </c>
      <c r="K23" s="53">
        <f>'[1]일위대가목록'!H20</f>
        <v>0</v>
      </c>
      <c r="L23" s="53">
        <f>TRUNC(K23*C23,0)</f>
        <v>0</v>
      </c>
      <c r="M23" s="57" t="s">
        <v>373</v>
      </c>
      <c r="AV23" s="63" t="str">
        <f>HYPERLINK("#일위대가목록!A18","PC_0432-220 →")</f>
        <v>PC_0432-220 →</v>
      </c>
    </row>
    <row r="24" spans="1:13" ht="18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8" customHeight="1">
      <c r="A25" s="51" t="s">
        <v>389</v>
      </c>
      <c r="B25" s="56" t="s">
        <v>169</v>
      </c>
      <c r="C25" s="51">
        <v>1</v>
      </c>
      <c r="D25" s="56" t="s">
        <v>170</v>
      </c>
      <c r="E25" s="52"/>
      <c r="F25" s="53">
        <f>H25+J25+L25</f>
        <v>3055</v>
      </c>
      <c r="G25" s="52"/>
      <c r="H25" s="53">
        <f>TRUNC(H26+H27,0)</f>
        <v>2625</v>
      </c>
      <c r="I25" s="52"/>
      <c r="J25" s="53">
        <f>TRUNC(J26+J27,0)</f>
        <v>430</v>
      </c>
      <c r="K25" s="52"/>
      <c r="L25" s="53">
        <f>TRUNC(L26+L27,0)</f>
        <v>0</v>
      </c>
      <c r="M25" s="57" t="s">
        <v>129</v>
      </c>
    </row>
    <row r="26" spans="1:48" ht="18" customHeight="1">
      <c r="A26" s="51" t="s">
        <v>185</v>
      </c>
      <c r="B26" s="56" t="s">
        <v>169</v>
      </c>
      <c r="C26" s="58" t="s">
        <v>188</v>
      </c>
      <c r="D26" s="56" t="s">
        <v>170</v>
      </c>
      <c r="E26" s="53">
        <f>G26+I26+K26</f>
        <v>2500</v>
      </c>
      <c r="F26" s="53">
        <f>H26+J26+L26</f>
        <v>2625</v>
      </c>
      <c r="G26" s="53">
        <v>2500</v>
      </c>
      <c r="H26" s="53">
        <f>TRUNC(G26*C26,0)</f>
        <v>2625</v>
      </c>
      <c r="I26" s="53">
        <v>0</v>
      </c>
      <c r="J26" s="53"/>
      <c r="K26" s="53">
        <v>0</v>
      </c>
      <c r="L26" s="53"/>
      <c r="M26" s="57" t="s">
        <v>354</v>
      </c>
      <c r="AV26" s="63"/>
    </row>
    <row r="27" spans="1:48" ht="18" customHeight="1">
      <c r="A27" s="51" t="s">
        <v>184</v>
      </c>
      <c r="B27" s="56"/>
      <c r="C27" s="51">
        <v>1</v>
      </c>
      <c r="D27" s="56" t="s">
        <v>170</v>
      </c>
      <c r="E27" s="53">
        <f>G27+I27+K27</f>
        <v>430</v>
      </c>
      <c r="F27" s="53">
        <f>H27+J27+L27</f>
        <v>430</v>
      </c>
      <c r="G27" s="53"/>
      <c r="H27" s="53">
        <f>TRUNC(G27*C27,0)</f>
        <v>0</v>
      </c>
      <c r="I27" s="53">
        <f>일위대가목록!G24</f>
        <v>430</v>
      </c>
      <c r="J27" s="53">
        <f>TRUNC(I27*C27,0)</f>
        <v>430</v>
      </c>
      <c r="K27" s="53"/>
      <c r="L27" s="53">
        <f>TRUNC(K27*C27,0)</f>
        <v>0</v>
      </c>
      <c r="M27" s="57" t="s">
        <v>373</v>
      </c>
      <c r="AV27" s="63" t="str">
        <f>HYPERLINK("#일위대가목록!A17","PC_0432-230 →")</f>
        <v>PC_0432-230 →</v>
      </c>
    </row>
    <row r="28" spans="1:48" ht="18" customHeight="1">
      <c r="A28" s="51"/>
      <c r="B28" s="56"/>
      <c r="C28" s="51"/>
      <c r="D28" s="56"/>
      <c r="E28" s="53"/>
      <c r="F28" s="53"/>
      <c r="G28" s="53"/>
      <c r="H28" s="53"/>
      <c r="I28" s="53"/>
      <c r="J28" s="53"/>
      <c r="K28" s="53"/>
      <c r="L28" s="53"/>
      <c r="M28" s="57"/>
      <c r="AV28" s="63"/>
    </row>
    <row r="29" spans="1:13" ht="18" customHeight="1">
      <c r="A29" s="51" t="s">
        <v>390</v>
      </c>
      <c r="B29" s="56" t="s">
        <v>169</v>
      </c>
      <c r="C29" s="51">
        <v>1</v>
      </c>
      <c r="D29" s="56" t="s">
        <v>170</v>
      </c>
      <c r="E29" s="52"/>
      <c r="F29" s="53">
        <f>H29+J29+L29</f>
        <v>2530</v>
      </c>
      <c r="G29" s="52"/>
      <c r="H29" s="53">
        <f>TRUNC(H30+H31,0)</f>
        <v>2100</v>
      </c>
      <c r="I29" s="52"/>
      <c r="J29" s="53">
        <f>TRUNC(J30+J31,0)</f>
        <v>430</v>
      </c>
      <c r="K29" s="52"/>
      <c r="L29" s="53">
        <f>TRUNC(L30+L31,0)</f>
        <v>0</v>
      </c>
      <c r="M29" s="57" t="s">
        <v>129</v>
      </c>
    </row>
    <row r="30" spans="1:48" ht="18" customHeight="1">
      <c r="A30" s="51" t="s">
        <v>186</v>
      </c>
      <c r="B30" s="56" t="s">
        <v>169</v>
      </c>
      <c r="C30" s="58" t="s">
        <v>188</v>
      </c>
      <c r="D30" s="56" t="s">
        <v>170</v>
      </c>
      <c r="E30" s="53">
        <f>G30+I30+K30</f>
        <v>2000</v>
      </c>
      <c r="F30" s="53">
        <f>H30+J30+L30</f>
        <v>2100</v>
      </c>
      <c r="G30" s="53">
        <v>2000</v>
      </c>
      <c r="H30" s="53">
        <f>TRUNC(G30*C30,0)</f>
        <v>2100</v>
      </c>
      <c r="I30" s="53">
        <v>0</v>
      </c>
      <c r="J30" s="53"/>
      <c r="K30" s="53">
        <v>0</v>
      </c>
      <c r="L30" s="53"/>
      <c r="M30" s="57" t="s">
        <v>354</v>
      </c>
      <c r="AV30" s="63" t="str">
        <f>HYPERLINK("#자재조서!A14","M2373004 →")</f>
        <v>M2373004 →</v>
      </c>
    </row>
    <row r="31" spans="1:48" ht="18" customHeight="1">
      <c r="A31" s="51" t="s">
        <v>184</v>
      </c>
      <c r="B31" s="56"/>
      <c r="C31" s="51">
        <v>1</v>
      </c>
      <c r="D31" s="56" t="s">
        <v>170</v>
      </c>
      <c r="E31" s="53">
        <f>G31+I31+K31</f>
        <v>430</v>
      </c>
      <c r="F31" s="53">
        <f>H31+J31+L31</f>
        <v>430</v>
      </c>
      <c r="G31" s="53"/>
      <c r="H31" s="53">
        <f>TRUNC(G31*C31,0)</f>
        <v>0</v>
      </c>
      <c r="I31" s="53">
        <f>일위대가목록!G24</f>
        <v>430</v>
      </c>
      <c r="J31" s="53">
        <f>TRUNC(I31*C31,0)</f>
        <v>430</v>
      </c>
      <c r="K31" s="53"/>
      <c r="L31" s="53">
        <f>TRUNC(K31*C31,0)</f>
        <v>0</v>
      </c>
      <c r="M31" s="57" t="s">
        <v>373</v>
      </c>
      <c r="AV31" s="63" t="str">
        <f>HYPERLINK("#일위대가목록!A18","PC_0432-220 →")</f>
        <v>PC_0432-220 →</v>
      </c>
    </row>
    <row r="32" spans="1:13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18" customHeight="1">
      <c r="A33" s="51" t="s">
        <v>391</v>
      </c>
      <c r="B33" s="56" t="s">
        <v>169</v>
      </c>
      <c r="C33" s="51">
        <v>1</v>
      </c>
      <c r="D33" s="56" t="s">
        <v>170</v>
      </c>
      <c r="E33" s="52"/>
      <c r="F33" s="53">
        <f>H33+J33+L33</f>
        <v>1690</v>
      </c>
      <c r="G33" s="52"/>
      <c r="H33" s="53">
        <f>TRUNC(H34+H35,0)</f>
        <v>1260</v>
      </c>
      <c r="I33" s="52"/>
      <c r="J33" s="53">
        <f>TRUNC(J34+J35,0)</f>
        <v>430</v>
      </c>
      <c r="K33" s="52"/>
      <c r="L33" s="53">
        <f>TRUNC(L34+L35,0)</f>
        <v>0</v>
      </c>
      <c r="M33" s="57" t="s">
        <v>129</v>
      </c>
    </row>
    <row r="34" spans="1:48" ht="18" customHeight="1">
      <c r="A34" s="51" t="s">
        <v>187</v>
      </c>
      <c r="B34" s="56" t="s">
        <v>169</v>
      </c>
      <c r="C34" s="58" t="s">
        <v>188</v>
      </c>
      <c r="D34" s="56" t="s">
        <v>170</v>
      </c>
      <c r="E34" s="53">
        <f>G34+I34+K34</f>
        <v>1200</v>
      </c>
      <c r="F34" s="53">
        <f>H34+J34+L34</f>
        <v>1260</v>
      </c>
      <c r="G34" s="53">
        <v>1200</v>
      </c>
      <c r="H34" s="53">
        <f>TRUNC(G34*C34,0)</f>
        <v>1260</v>
      </c>
      <c r="I34" s="53">
        <v>0</v>
      </c>
      <c r="J34" s="53"/>
      <c r="K34" s="53">
        <v>0</v>
      </c>
      <c r="L34" s="53"/>
      <c r="M34" s="57" t="s">
        <v>354</v>
      </c>
      <c r="AV34" s="63"/>
    </row>
    <row r="35" spans="1:48" ht="18" customHeight="1">
      <c r="A35" s="51" t="s">
        <v>184</v>
      </c>
      <c r="B35" s="56"/>
      <c r="C35" s="51">
        <v>1</v>
      </c>
      <c r="D35" s="56" t="s">
        <v>170</v>
      </c>
      <c r="E35" s="53">
        <f>G35+I35+K35</f>
        <v>430</v>
      </c>
      <c r="F35" s="53">
        <f>H35+J35+L35</f>
        <v>430</v>
      </c>
      <c r="G35" s="53">
        <f>일위대가목록!F22</f>
        <v>0</v>
      </c>
      <c r="H35" s="53">
        <f>TRUNC(G35*C35,0)</f>
        <v>0</v>
      </c>
      <c r="I35" s="53">
        <f>일위대가목록!G24</f>
        <v>430</v>
      </c>
      <c r="J35" s="53">
        <f>TRUNC(I35*C35,0)</f>
        <v>430</v>
      </c>
      <c r="K35" s="53">
        <f>일위대가목록!H22</f>
        <v>0</v>
      </c>
      <c r="L35" s="53">
        <f>TRUNC(K35*C35,0)</f>
        <v>0</v>
      </c>
      <c r="M35" s="57" t="s">
        <v>373</v>
      </c>
      <c r="AV35" s="63" t="str">
        <f>HYPERLINK("#일위대가목록!A17","PC_0432-230 →")</f>
        <v>PC_0432-230 →</v>
      </c>
    </row>
    <row r="36" spans="1:13" ht="18" customHeight="1">
      <c r="A36" s="52"/>
      <c r="B36" s="64"/>
      <c r="C36" s="52"/>
      <c r="D36" s="64"/>
      <c r="E36" s="52"/>
      <c r="F36" s="52"/>
      <c r="G36" s="52"/>
      <c r="H36" s="52"/>
      <c r="I36" s="52"/>
      <c r="J36" s="52"/>
      <c r="K36" s="52"/>
      <c r="L36" s="52"/>
      <c r="M36" s="105"/>
    </row>
    <row r="37" spans="1:13" ht="18" customHeight="1">
      <c r="A37" s="51" t="s">
        <v>392</v>
      </c>
      <c r="B37" s="56" t="s">
        <v>172</v>
      </c>
      <c r="C37" s="51">
        <v>1</v>
      </c>
      <c r="D37" s="56" t="s">
        <v>170</v>
      </c>
      <c r="E37" s="52"/>
      <c r="F37" s="53">
        <f>H37+J37+L37</f>
        <v>1480</v>
      </c>
      <c r="G37" s="52"/>
      <c r="H37" s="53">
        <f>TRUNC(H38+H39,0)</f>
        <v>1050</v>
      </c>
      <c r="I37" s="52"/>
      <c r="J37" s="53">
        <f>TRUNC(J38+J39,0)</f>
        <v>430</v>
      </c>
      <c r="K37" s="52"/>
      <c r="L37" s="53">
        <f>TRUNC(L38+L39,0)</f>
        <v>0</v>
      </c>
      <c r="M37" s="57" t="s">
        <v>129</v>
      </c>
    </row>
    <row r="38" spans="1:48" ht="18" customHeight="1">
      <c r="A38" s="51" t="s">
        <v>171</v>
      </c>
      <c r="B38" s="56" t="s">
        <v>172</v>
      </c>
      <c r="C38" s="58" t="s">
        <v>188</v>
      </c>
      <c r="D38" s="56" t="s">
        <v>170</v>
      </c>
      <c r="E38" s="53">
        <f>G38+I38+K38</f>
        <v>1000</v>
      </c>
      <c r="F38" s="53">
        <f>H38+J38+L38</f>
        <v>1050</v>
      </c>
      <c r="G38" s="53">
        <v>1000</v>
      </c>
      <c r="H38" s="53">
        <f>TRUNC(G38*C38,0)</f>
        <v>1050</v>
      </c>
      <c r="I38" s="53">
        <v>0</v>
      </c>
      <c r="J38" s="53"/>
      <c r="K38" s="53">
        <v>0</v>
      </c>
      <c r="L38" s="53"/>
      <c r="M38" s="57" t="s">
        <v>354</v>
      </c>
      <c r="AV38" s="63" t="str">
        <f>HYPERLINK("#자재조서!A15","M2481017 →")</f>
        <v>M2481017 →</v>
      </c>
    </row>
    <row r="39" spans="1:48" ht="18" customHeight="1">
      <c r="A39" s="51" t="s">
        <v>184</v>
      </c>
      <c r="B39" s="56"/>
      <c r="C39" s="51">
        <v>1</v>
      </c>
      <c r="D39" s="56" t="s">
        <v>170</v>
      </c>
      <c r="E39" s="53">
        <f>G39+I39+K39</f>
        <v>430</v>
      </c>
      <c r="F39" s="53">
        <f>H39+J39+L39</f>
        <v>430</v>
      </c>
      <c r="G39" s="53"/>
      <c r="H39" s="53">
        <f>TRUNC(G39*C39,0)</f>
        <v>0</v>
      </c>
      <c r="I39" s="53">
        <f>일위대가목록!G24</f>
        <v>430</v>
      </c>
      <c r="J39" s="53">
        <f>TRUNC(I39*C39,0)</f>
        <v>430</v>
      </c>
      <c r="K39" s="53"/>
      <c r="L39" s="53">
        <f>TRUNC(K39*C39,0)</f>
        <v>0</v>
      </c>
      <c r="M39" s="57" t="s">
        <v>373</v>
      </c>
      <c r="AV39" s="63" t="str">
        <f>HYPERLINK("#일위대가목록!A18","PC_0432-220 →")</f>
        <v>PC_0432-220 →</v>
      </c>
    </row>
    <row r="40" spans="1:13" ht="18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18" customHeight="1">
      <c r="A41" s="51" t="s">
        <v>393</v>
      </c>
      <c r="B41" s="56" t="s">
        <v>199</v>
      </c>
      <c r="C41" s="51">
        <v>1</v>
      </c>
      <c r="D41" s="56" t="s">
        <v>56</v>
      </c>
      <c r="E41" s="52"/>
      <c r="F41" s="53">
        <f>H41+J41+L41</f>
        <v>18465</v>
      </c>
      <c r="G41" s="52"/>
      <c r="H41" s="53">
        <f>SUM(H42:H45)</f>
        <v>11375</v>
      </c>
      <c r="I41" s="52"/>
      <c r="J41" s="53">
        <f>SUM(J42:J45)</f>
        <v>7090</v>
      </c>
      <c r="K41" s="52"/>
      <c r="L41" s="53">
        <f>SUM(L42:L45)</f>
        <v>0</v>
      </c>
      <c r="M41" s="57" t="s">
        <v>129</v>
      </c>
    </row>
    <row r="42" spans="1:48" ht="18" customHeight="1">
      <c r="A42" s="51" t="s">
        <v>200</v>
      </c>
      <c r="B42" s="56" t="s">
        <v>201</v>
      </c>
      <c r="C42" s="51">
        <v>1.5</v>
      </c>
      <c r="D42" s="56" t="s">
        <v>56</v>
      </c>
      <c r="E42" s="53">
        <f>G42+I42+K42</f>
        <v>1050</v>
      </c>
      <c r="F42" s="53">
        <f>H42+J42+L42</f>
        <v>1575</v>
      </c>
      <c r="G42" s="53">
        <v>1050</v>
      </c>
      <c r="H42" s="53">
        <f>TRUNC(G42*C42,0)</f>
        <v>1575</v>
      </c>
      <c r="I42" s="53">
        <v>0</v>
      </c>
      <c r="J42" s="53">
        <f>TRUNC(I42*C42,0)</f>
        <v>0</v>
      </c>
      <c r="K42" s="53"/>
      <c r="L42" s="53">
        <f>TRUNC(K42*C42,0)</f>
        <v>0</v>
      </c>
      <c r="M42" s="57" t="s">
        <v>354</v>
      </c>
      <c r="AV42" s="63" t="str">
        <f>HYPERLINK("#일위대가목록!A3","PC_0313-11A →")</f>
        <v>PC_0313-11A →</v>
      </c>
    </row>
    <row r="43" spans="1:48" ht="18" customHeight="1">
      <c r="A43" s="51" t="s">
        <v>173</v>
      </c>
      <c r="B43" s="56" t="s">
        <v>202</v>
      </c>
      <c r="C43" s="51">
        <v>4</v>
      </c>
      <c r="D43" s="56" t="s">
        <v>203</v>
      </c>
      <c r="E43" s="53">
        <f>G43+I43+K43</f>
        <v>2450</v>
      </c>
      <c r="F43" s="53">
        <f>H43+J43+L43</f>
        <v>9800</v>
      </c>
      <c r="G43" s="53">
        <v>2450</v>
      </c>
      <c r="H43" s="53">
        <f>TRUNC(G43*C43,0)</f>
        <v>9800</v>
      </c>
      <c r="I43" s="53">
        <v>0</v>
      </c>
      <c r="J43" s="53">
        <f>TRUNC(I43*C43,0)</f>
        <v>0</v>
      </c>
      <c r="K43" s="53"/>
      <c r="L43" s="53">
        <f>TRUNC(K43*C43,0)</f>
        <v>0</v>
      </c>
      <c r="M43" s="57" t="s">
        <v>354</v>
      </c>
      <c r="AV43" s="63" t="str">
        <f>HYPERLINK("#일위대가목록!A3","PC_0313-11A →")</f>
        <v>PC_0313-11A →</v>
      </c>
    </row>
    <row r="44" spans="1:48" ht="18" customHeight="1">
      <c r="A44" s="51" t="s">
        <v>6</v>
      </c>
      <c r="B44" s="56"/>
      <c r="C44" s="51">
        <v>0.02</v>
      </c>
      <c r="D44" s="56" t="s">
        <v>118</v>
      </c>
      <c r="E44" s="53">
        <f>G44+I44+K44</f>
        <v>197450</v>
      </c>
      <c r="F44" s="53">
        <f>H44+J44+L44</f>
        <v>3949</v>
      </c>
      <c r="G44" s="53">
        <v>0</v>
      </c>
      <c r="H44" s="53">
        <f>TRUNC(G44*C44,0)</f>
        <v>0</v>
      </c>
      <c r="I44" s="53">
        <v>197450</v>
      </c>
      <c r="J44" s="53">
        <f>TRUNC(I44*C44,0)</f>
        <v>3949</v>
      </c>
      <c r="K44" s="53"/>
      <c r="L44" s="53">
        <f>TRUNC(K44*C44,0)</f>
        <v>0</v>
      </c>
      <c r="M44" s="57" t="s">
        <v>369</v>
      </c>
      <c r="AV44" s="63" t="str">
        <f>HYPERLINK("#일위대가목록!A4","PC_0313-18A →")</f>
        <v>PC_0313-18A →</v>
      </c>
    </row>
    <row r="45" spans="1:48" ht="18" customHeight="1">
      <c r="A45" s="51" t="s">
        <v>7</v>
      </c>
      <c r="B45" s="56"/>
      <c r="C45" s="51">
        <v>0.02</v>
      </c>
      <c r="D45" s="56" t="s">
        <v>118</v>
      </c>
      <c r="E45" s="53">
        <f>G45+I45+K45</f>
        <v>157068</v>
      </c>
      <c r="F45" s="53">
        <f>H45+J45+L45</f>
        <v>3141</v>
      </c>
      <c r="G45" s="53">
        <v>0</v>
      </c>
      <c r="H45" s="53">
        <f>TRUNC(G45*C45,0)</f>
        <v>0</v>
      </c>
      <c r="I45" s="53">
        <v>157068</v>
      </c>
      <c r="J45" s="53">
        <f>TRUNC(I45*C45,0)</f>
        <v>3141</v>
      </c>
      <c r="K45" s="53"/>
      <c r="L45" s="53">
        <f>TRUNC(K45*C45,0)</f>
        <v>0</v>
      </c>
      <c r="M45" s="57" t="s">
        <v>369</v>
      </c>
      <c r="AV45" s="63" t="str">
        <f>HYPERLINK("#일위대가목록!A5","PC_0313-19A →")</f>
        <v>PC_0313-19A →</v>
      </c>
    </row>
    <row r="46" spans="1:13" ht="18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ht="18" customHeight="1">
      <c r="A47" s="51" t="s">
        <v>394</v>
      </c>
      <c r="B47" s="56" t="s">
        <v>197</v>
      </c>
      <c r="C47" s="51">
        <v>1</v>
      </c>
      <c r="D47" s="56" t="s">
        <v>127</v>
      </c>
      <c r="E47" s="52"/>
      <c r="F47" s="53">
        <f>H47+J47+L47</f>
        <v>61141</v>
      </c>
      <c r="G47" s="52"/>
      <c r="H47" s="53">
        <f>SUM(H48:H51)</f>
        <v>51125</v>
      </c>
      <c r="I47" s="52"/>
      <c r="J47" s="53">
        <f>SUM(J48:J51)</f>
        <v>10016</v>
      </c>
      <c r="K47" s="52"/>
      <c r="L47" s="53">
        <f>SUM(L48:L51)</f>
        <v>0</v>
      </c>
      <c r="M47" s="57" t="s">
        <v>129</v>
      </c>
    </row>
    <row r="48" spans="1:48" ht="18" customHeight="1">
      <c r="A48" s="51" t="s">
        <v>195</v>
      </c>
      <c r="B48" s="56"/>
      <c r="C48" s="58">
        <v>0.003</v>
      </c>
      <c r="D48" s="56" t="s">
        <v>118</v>
      </c>
      <c r="E48" s="53">
        <f>G48+I48+K48</f>
        <v>197546</v>
      </c>
      <c r="F48" s="53">
        <f>H48+J48+L48</f>
        <v>592</v>
      </c>
      <c r="G48" s="53">
        <v>0</v>
      </c>
      <c r="H48" s="53">
        <f>TRUNC(G48*C48,0)</f>
        <v>0</v>
      </c>
      <c r="I48" s="53">
        <v>197546</v>
      </c>
      <c r="J48" s="53">
        <f>TRUNC(I48*C48,0)</f>
        <v>592</v>
      </c>
      <c r="K48" s="53"/>
      <c r="L48" s="53">
        <f>TRUNC(K48*C48,0)</f>
        <v>0</v>
      </c>
      <c r="M48" s="57" t="s">
        <v>369</v>
      </c>
      <c r="AV48" s="63" t="str">
        <f>HYPERLINK("#자재조서!A22","MY-DK-W1 →")</f>
        <v>MY-DK-W1 →</v>
      </c>
    </row>
    <row r="49" spans="1:48" ht="18" customHeight="1">
      <c r="A49" s="51" t="s">
        <v>7</v>
      </c>
      <c r="B49" s="56"/>
      <c r="C49" s="51">
        <v>0.06</v>
      </c>
      <c r="D49" s="56" t="s">
        <v>118</v>
      </c>
      <c r="E49" s="53">
        <f>G49+I49+K49</f>
        <v>157068</v>
      </c>
      <c r="F49" s="53">
        <f>H49+J49+L49</f>
        <v>9424</v>
      </c>
      <c r="G49" s="53">
        <v>0</v>
      </c>
      <c r="H49" s="53">
        <f>TRUNC(G49*C49,0)</f>
        <v>0</v>
      </c>
      <c r="I49" s="53">
        <v>157068</v>
      </c>
      <c r="J49" s="53">
        <f>TRUNC(I49*C49,0)</f>
        <v>9424</v>
      </c>
      <c r="K49" s="53"/>
      <c r="L49" s="53">
        <f>TRUNC(K49*C49,0)</f>
        <v>0</v>
      </c>
      <c r="M49" s="57" t="s">
        <v>369</v>
      </c>
      <c r="AV49" s="63" t="str">
        <f>HYPERLINK("#자재조서!A22","MY-DK-W1 →")</f>
        <v>MY-DK-W1 →</v>
      </c>
    </row>
    <row r="50" spans="1:48" ht="18" customHeight="1">
      <c r="A50" s="51" t="s">
        <v>192</v>
      </c>
      <c r="B50" s="56" t="s">
        <v>193</v>
      </c>
      <c r="C50" s="51">
        <v>500</v>
      </c>
      <c r="D50" s="56" t="s">
        <v>198</v>
      </c>
      <c r="E50" s="53">
        <f>G50+I50+K50</f>
        <v>85</v>
      </c>
      <c r="F50" s="53">
        <f>H50+J50+L50</f>
        <v>42500</v>
      </c>
      <c r="G50" s="53">
        <v>85</v>
      </c>
      <c r="H50" s="53">
        <f>TRUNC(G50*C50,0)</f>
        <v>42500</v>
      </c>
      <c r="I50" s="53">
        <v>0</v>
      </c>
      <c r="J50" s="53">
        <f>TRUNC(I50*C50,0)</f>
        <v>0</v>
      </c>
      <c r="K50" s="53"/>
      <c r="L50" s="53">
        <f>TRUNC(K50*C50,0)</f>
        <v>0</v>
      </c>
      <c r="M50" s="57" t="s">
        <v>354</v>
      </c>
      <c r="AV50" s="63" t="str">
        <f>HYPERLINK("#자재조서!A22","MY-DK-W1 →")</f>
        <v>MY-DK-W1 →</v>
      </c>
    </row>
    <row r="51" spans="1:48" ht="18" customHeight="1">
      <c r="A51" s="51" t="s">
        <v>196</v>
      </c>
      <c r="B51" s="56" t="s">
        <v>205</v>
      </c>
      <c r="C51" s="51">
        <v>0.575</v>
      </c>
      <c r="D51" s="56" t="s">
        <v>127</v>
      </c>
      <c r="E51" s="53">
        <f>G51+I51+K51</f>
        <v>15000</v>
      </c>
      <c r="F51" s="53">
        <f>H51+J51+L51</f>
        <v>8625</v>
      </c>
      <c r="G51" s="53">
        <v>15000</v>
      </c>
      <c r="H51" s="53">
        <f>TRUNC(G51*C51,0)</f>
        <v>8625</v>
      </c>
      <c r="I51" s="53">
        <v>0</v>
      </c>
      <c r="J51" s="53">
        <f>TRUNC(I51*C51,0)</f>
        <v>0</v>
      </c>
      <c r="K51" s="53"/>
      <c r="L51" s="53">
        <f>TRUNC(K51*C51,0)</f>
        <v>0</v>
      </c>
      <c r="M51" s="57" t="s">
        <v>354</v>
      </c>
      <c r="AV51" s="63" t="str">
        <f>HYPERLINK("#일위대가목록!A6","RD-0000-500 →")</f>
        <v>RD-0000-500 →</v>
      </c>
    </row>
    <row r="52" spans="1:13" ht="18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</row>
    <row r="53" spans="1:13" ht="18" customHeight="1">
      <c r="A53" s="51" t="s">
        <v>395</v>
      </c>
      <c r="B53" s="56" t="s">
        <v>101</v>
      </c>
      <c r="C53" s="51">
        <v>1</v>
      </c>
      <c r="D53" s="56" t="s">
        <v>207</v>
      </c>
      <c r="E53" s="52"/>
      <c r="F53" s="53">
        <f>H53+J53+L53</f>
        <v>10000</v>
      </c>
      <c r="G53" s="52"/>
      <c r="H53" s="53">
        <f>SUM(H54:H54)</f>
        <v>10000</v>
      </c>
      <c r="I53" s="52"/>
      <c r="J53" s="53">
        <f>SUM(J54:J54)</f>
        <v>0</v>
      </c>
      <c r="K53" s="52"/>
      <c r="L53" s="53">
        <f>SUM(L54:L54)</f>
        <v>0</v>
      </c>
      <c r="M53" s="57" t="s">
        <v>129</v>
      </c>
    </row>
    <row r="54" spans="1:48" ht="18" customHeight="1">
      <c r="A54" s="51" t="s">
        <v>206</v>
      </c>
      <c r="B54" s="56" t="s">
        <v>101</v>
      </c>
      <c r="C54" s="51">
        <v>1</v>
      </c>
      <c r="D54" s="56" t="s">
        <v>207</v>
      </c>
      <c r="E54" s="53">
        <f>G54+I54+K54</f>
        <v>10000</v>
      </c>
      <c r="F54" s="53">
        <f>H54+J54+L54</f>
        <v>10000</v>
      </c>
      <c r="G54" s="53">
        <v>10000</v>
      </c>
      <c r="H54" s="53">
        <f>TRUNC(G54*C54,0)</f>
        <v>10000</v>
      </c>
      <c r="I54" s="53"/>
      <c r="J54" s="53">
        <f>TRUNC(I54*C54,0)</f>
        <v>0</v>
      </c>
      <c r="K54" s="53"/>
      <c r="L54" s="53">
        <f>TRUNC(K54*C54,0)</f>
        <v>0</v>
      </c>
      <c r="M54" s="57" t="s">
        <v>354</v>
      </c>
      <c r="AV54" s="63" t="str">
        <f>HYPERLINK("#자재조서!A22","MY-DK-W1 →")</f>
        <v>MY-DK-W1 →</v>
      </c>
    </row>
    <row r="55" spans="1:13" ht="18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48" ht="18" customHeight="1">
      <c r="A56" s="51" t="s">
        <v>396</v>
      </c>
      <c r="B56" s="56" t="s">
        <v>274</v>
      </c>
      <c r="C56" s="51">
        <v>1</v>
      </c>
      <c r="D56" s="56" t="s">
        <v>220</v>
      </c>
      <c r="E56" s="53"/>
      <c r="F56" s="53">
        <f>H56+J56+L56</f>
        <v>77456</v>
      </c>
      <c r="G56" s="53"/>
      <c r="H56" s="53">
        <f>SUM(H57:H66)</f>
        <v>39528</v>
      </c>
      <c r="I56" s="53"/>
      <c r="J56" s="53">
        <f>SUM(J57:J66)</f>
        <v>37396</v>
      </c>
      <c r="K56" s="53"/>
      <c r="L56" s="53">
        <f>SUM(L57:L66)</f>
        <v>532</v>
      </c>
      <c r="M56" s="57"/>
      <c r="AV56" s="63"/>
    </row>
    <row r="57" spans="1:48" ht="18" customHeight="1">
      <c r="A57" s="51" t="s">
        <v>309</v>
      </c>
      <c r="B57" s="56" t="s">
        <v>219</v>
      </c>
      <c r="C57" s="51">
        <v>1</v>
      </c>
      <c r="D57" s="56" t="s">
        <v>220</v>
      </c>
      <c r="E57" s="53">
        <f>G57+I57+K57</f>
        <v>36500</v>
      </c>
      <c r="F57" s="53">
        <f>H57+J57+L57</f>
        <v>36500</v>
      </c>
      <c r="G57" s="53">
        <f>자재조서!E4</f>
        <v>36500</v>
      </c>
      <c r="H57" s="53">
        <f>TRUNC(G57*C57,0)</f>
        <v>36500</v>
      </c>
      <c r="I57" s="53"/>
      <c r="J57" s="53">
        <f>TRUNC(I57*C57,0)</f>
        <v>0</v>
      </c>
      <c r="K57" s="53"/>
      <c r="L57" s="53">
        <f>TRUNC(K57*C57,0)</f>
        <v>0</v>
      </c>
      <c r="M57" s="57" t="s">
        <v>368</v>
      </c>
      <c r="AV57" s="63"/>
    </row>
    <row r="58" spans="1:48" ht="18" customHeight="1">
      <c r="A58" s="51" t="s">
        <v>310</v>
      </c>
      <c r="B58" s="56" t="s">
        <v>221</v>
      </c>
      <c r="C58" s="51">
        <v>0.8</v>
      </c>
      <c r="D58" s="56" t="s">
        <v>222</v>
      </c>
      <c r="E58" s="53">
        <f>G58+I58+K58</f>
        <v>500</v>
      </c>
      <c r="F58" s="53">
        <f>H58+J58+L58</f>
        <v>400</v>
      </c>
      <c r="G58" s="53">
        <f>자재조서!E5</f>
        <v>500</v>
      </c>
      <c r="H58" s="53">
        <f>TRUNC(G58*C58,0)</f>
        <v>400</v>
      </c>
      <c r="I58" s="53"/>
      <c r="J58" s="53">
        <f>TRUNC(I58*C58,0)</f>
        <v>0</v>
      </c>
      <c r="K58" s="53"/>
      <c r="L58" s="53">
        <f>TRUNC(K58*C58,0)</f>
        <v>0</v>
      </c>
      <c r="M58" s="57" t="s">
        <v>368</v>
      </c>
      <c r="AV58" s="63"/>
    </row>
    <row r="59" spans="1:48" ht="18" customHeight="1">
      <c r="A59" s="51" t="s">
        <v>311</v>
      </c>
      <c r="B59" s="56" t="s">
        <v>129</v>
      </c>
      <c r="C59" s="51">
        <v>0.25</v>
      </c>
      <c r="D59" s="56" t="s">
        <v>222</v>
      </c>
      <c r="E59" s="53">
        <f>G59+I59+K59</f>
        <v>4200</v>
      </c>
      <c r="F59" s="53">
        <f>H59+J59+L59</f>
        <v>1050</v>
      </c>
      <c r="G59" s="53">
        <f>자재조서!E6</f>
        <v>4200</v>
      </c>
      <c r="H59" s="53">
        <f>TRUNC(G59*C59,0)</f>
        <v>1050</v>
      </c>
      <c r="I59" s="53"/>
      <c r="J59" s="53">
        <f>TRUNC(I59*C59,0)</f>
        <v>0</v>
      </c>
      <c r="K59" s="53"/>
      <c r="L59" s="53">
        <f>TRUNC(K59*C59,0)</f>
        <v>0</v>
      </c>
      <c r="M59" s="57" t="s">
        <v>368</v>
      </c>
      <c r="AV59" s="63"/>
    </row>
    <row r="60" spans="1:48" ht="18" customHeight="1">
      <c r="A60" s="51" t="s">
        <v>312</v>
      </c>
      <c r="B60" s="56" t="s">
        <v>129</v>
      </c>
      <c r="C60" s="51"/>
      <c r="D60" s="56" t="s">
        <v>129</v>
      </c>
      <c r="E60" s="53"/>
      <c r="F60" s="53"/>
      <c r="G60" s="53"/>
      <c r="H60" s="53"/>
      <c r="I60" s="53"/>
      <c r="J60" s="53"/>
      <c r="K60" s="53"/>
      <c r="L60" s="53"/>
      <c r="M60" s="57"/>
      <c r="AV60" s="63"/>
    </row>
    <row r="61" spans="1:48" ht="18" customHeight="1">
      <c r="A61" s="51" t="s">
        <v>313</v>
      </c>
      <c r="B61" s="56" t="s">
        <v>223</v>
      </c>
      <c r="C61" s="51">
        <v>0.002112</v>
      </c>
      <c r="D61" s="56" t="s">
        <v>224</v>
      </c>
      <c r="E61" s="53">
        <f>G61+I61+K61</f>
        <v>6679852</v>
      </c>
      <c r="F61" s="53">
        <f>H61+J61+L61</f>
        <v>14107</v>
      </c>
      <c r="G61" s="53">
        <f>일위대가목록!F25</f>
        <v>126034</v>
      </c>
      <c r="H61" s="53">
        <f>TRUNC(G61*C61,0)</f>
        <v>266</v>
      </c>
      <c r="I61" s="53">
        <f>일위대가목록!G25</f>
        <v>6301749</v>
      </c>
      <c r="J61" s="53">
        <f>TRUNC(I61*C61,0)</f>
        <v>13309</v>
      </c>
      <c r="K61" s="53">
        <f>일위대가목록!H25</f>
        <v>252069</v>
      </c>
      <c r="L61" s="53">
        <f>TRUNC(K61*C61,0)</f>
        <v>532</v>
      </c>
      <c r="M61" s="57" t="s">
        <v>409</v>
      </c>
      <c r="AV61" s="63"/>
    </row>
    <row r="62" spans="1:48" ht="18" customHeight="1">
      <c r="A62" s="51" t="s">
        <v>314</v>
      </c>
      <c r="B62" s="56" t="s">
        <v>225</v>
      </c>
      <c r="C62" s="51">
        <v>1.6</v>
      </c>
      <c r="D62" s="56" t="s">
        <v>222</v>
      </c>
      <c r="E62" s="53">
        <f>G62+I62+K62</f>
        <v>820</v>
      </c>
      <c r="F62" s="53">
        <f>H62+J62+L62</f>
        <v>1312</v>
      </c>
      <c r="G62" s="53">
        <f>자재조서!E9</f>
        <v>820</v>
      </c>
      <c r="H62" s="53">
        <f>TRUNC(G62*C62,0)</f>
        <v>1312</v>
      </c>
      <c r="I62" s="53"/>
      <c r="J62" s="53">
        <f>TRUNC(I62*C62,0)</f>
        <v>0</v>
      </c>
      <c r="K62" s="53"/>
      <c r="L62" s="53">
        <f>TRUNC(K62*C62,0)</f>
        <v>0</v>
      </c>
      <c r="M62" s="57" t="s">
        <v>368</v>
      </c>
      <c r="AV62" s="63"/>
    </row>
    <row r="63" spans="1:48" ht="18" customHeight="1">
      <c r="A63" s="51" t="s">
        <v>315</v>
      </c>
      <c r="B63" s="56" t="s">
        <v>129</v>
      </c>
      <c r="C63" s="51"/>
      <c r="D63" s="56" t="s">
        <v>129</v>
      </c>
      <c r="E63" s="53"/>
      <c r="F63" s="53"/>
      <c r="G63" s="53"/>
      <c r="H63" s="53"/>
      <c r="I63" s="53"/>
      <c r="J63" s="53"/>
      <c r="K63" s="53"/>
      <c r="L63" s="53"/>
      <c r="M63" s="57"/>
      <c r="AV63" s="63"/>
    </row>
    <row r="64" spans="1:48" ht="18" customHeight="1">
      <c r="A64" s="51" t="s">
        <v>316</v>
      </c>
      <c r="B64" s="56" t="s">
        <v>226</v>
      </c>
      <c r="C64" s="51"/>
      <c r="D64" s="56" t="s">
        <v>129</v>
      </c>
      <c r="E64" s="53"/>
      <c r="F64" s="53"/>
      <c r="G64" s="53"/>
      <c r="H64" s="53"/>
      <c r="I64" s="53"/>
      <c r="J64" s="53"/>
      <c r="K64" s="53"/>
      <c r="L64" s="53"/>
      <c r="M64" s="57"/>
      <c r="AV64" s="63"/>
    </row>
    <row r="65" spans="1:48" ht="18" customHeight="1">
      <c r="A65" s="51" t="s">
        <v>317</v>
      </c>
      <c r="B65" s="56" t="s">
        <v>129</v>
      </c>
      <c r="C65" s="51">
        <v>0.088179</v>
      </c>
      <c r="D65" s="56" t="s">
        <v>118</v>
      </c>
      <c r="E65" s="53">
        <f>G65+I65+K65</f>
        <v>223124</v>
      </c>
      <c r="F65" s="53">
        <f>H65+J65+L65</f>
        <v>19674</v>
      </c>
      <c r="G65" s="53"/>
      <c r="H65" s="53">
        <f>TRUNC(G65*C65,0)</f>
        <v>0</v>
      </c>
      <c r="I65" s="53">
        <f>노임단가!D3</f>
        <v>223124</v>
      </c>
      <c r="J65" s="53">
        <f>TRUNC(I65*C65,0)</f>
        <v>19674</v>
      </c>
      <c r="K65" s="53"/>
      <c r="L65" s="53">
        <f>TRUNC(K65*C65,0)</f>
        <v>0</v>
      </c>
      <c r="M65" s="104" t="s">
        <v>269</v>
      </c>
      <c r="AV65" s="63"/>
    </row>
    <row r="66" spans="1:48" ht="18" customHeight="1">
      <c r="A66" s="51" t="s">
        <v>318</v>
      </c>
      <c r="B66" s="56" t="s">
        <v>129</v>
      </c>
      <c r="C66" s="51">
        <v>0.028101</v>
      </c>
      <c r="D66" s="56" t="s">
        <v>118</v>
      </c>
      <c r="E66" s="53">
        <f>G66+I66+K66</f>
        <v>157068</v>
      </c>
      <c r="F66" s="53">
        <f>H66+J66+L66</f>
        <v>4413</v>
      </c>
      <c r="G66" s="53"/>
      <c r="H66" s="53">
        <f>TRUNC(G66*C66,0)</f>
        <v>0</v>
      </c>
      <c r="I66" s="53">
        <f>노임단가!D11</f>
        <v>157068</v>
      </c>
      <c r="J66" s="53">
        <f>TRUNC(I66*C66,0)</f>
        <v>4413</v>
      </c>
      <c r="K66" s="53"/>
      <c r="L66" s="53">
        <f>TRUNC(K66*C66,0)</f>
        <v>0</v>
      </c>
      <c r="M66" s="57" t="s">
        <v>369</v>
      </c>
      <c r="AV66" s="63"/>
    </row>
    <row r="67" spans="1:48" ht="18" customHeight="1">
      <c r="A67" s="51"/>
      <c r="B67" s="56"/>
      <c r="C67" s="51"/>
      <c r="D67" s="56"/>
      <c r="E67" s="53"/>
      <c r="F67" s="53"/>
      <c r="G67" s="53"/>
      <c r="H67" s="53"/>
      <c r="I67" s="53"/>
      <c r="J67" s="53"/>
      <c r="K67" s="53"/>
      <c r="L67" s="53"/>
      <c r="M67" s="57"/>
      <c r="AV67" s="63"/>
    </row>
    <row r="68" spans="1:48" ht="18" customHeight="1">
      <c r="A68" s="51" t="s">
        <v>366</v>
      </c>
      <c r="B68" s="56" t="s">
        <v>304</v>
      </c>
      <c r="C68" s="51">
        <v>1</v>
      </c>
      <c r="D68" s="56" t="s">
        <v>220</v>
      </c>
      <c r="E68" s="53"/>
      <c r="F68" s="53">
        <f>H68+J68+L68</f>
        <v>272564</v>
      </c>
      <c r="G68" s="53"/>
      <c r="H68" s="53">
        <f>SUM(H69:H79)</f>
        <v>66406</v>
      </c>
      <c r="I68" s="53"/>
      <c r="J68" s="53">
        <f>SUM(J69:J79)</f>
        <v>204171</v>
      </c>
      <c r="K68" s="53"/>
      <c r="L68" s="53">
        <f>SUM(L69:L79)</f>
        <v>1987</v>
      </c>
      <c r="M68" s="57"/>
      <c r="AV68" s="63"/>
    </row>
    <row r="69" spans="1:48" ht="18" customHeight="1">
      <c r="A69" s="51" t="s">
        <v>305</v>
      </c>
      <c r="B69" s="56" t="s">
        <v>324</v>
      </c>
      <c r="C69" s="58" t="s">
        <v>319</v>
      </c>
      <c r="D69" s="56" t="s">
        <v>56</v>
      </c>
      <c r="E69" s="53">
        <f>G69+I69+K69</f>
        <v>77948</v>
      </c>
      <c r="F69" s="53">
        <f>H69+J69+L69</f>
        <v>43649</v>
      </c>
      <c r="G69" s="53">
        <f>일위대가목록!F26</f>
        <v>16235</v>
      </c>
      <c r="H69" s="53">
        <f>TRUNC(G69*C69,0)</f>
        <v>9091</v>
      </c>
      <c r="I69" s="53">
        <f>일위대가목록!G26</f>
        <v>60603</v>
      </c>
      <c r="J69" s="53">
        <f>TRUNC(I69*C69,0)</f>
        <v>33937</v>
      </c>
      <c r="K69" s="53">
        <f>일위대가목록!H26</f>
        <v>1110</v>
      </c>
      <c r="L69" s="53">
        <f>TRUNC(K69*C69,0)</f>
        <v>621</v>
      </c>
      <c r="M69" s="57" t="s">
        <v>410</v>
      </c>
      <c r="AV69" s="63"/>
    </row>
    <row r="70" spans="1:48" ht="18" customHeight="1">
      <c r="A70" s="51" t="s">
        <v>306</v>
      </c>
      <c r="B70" s="56" t="s">
        <v>326</v>
      </c>
      <c r="C70" s="58" t="s">
        <v>319</v>
      </c>
      <c r="D70" s="56" t="s">
        <v>56</v>
      </c>
      <c r="E70" s="53">
        <f>G70+I70+K70</f>
        <v>89684</v>
      </c>
      <c r="F70" s="53">
        <f>H70+J70+L70</f>
        <v>50223</v>
      </c>
      <c r="G70" s="53">
        <f>일위대가목록!F27</f>
        <v>25834</v>
      </c>
      <c r="H70" s="53">
        <f>TRUNC(G70*C70,0)</f>
        <v>14467</v>
      </c>
      <c r="I70" s="53">
        <f>일위대가목록!G27</f>
        <v>62700</v>
      </c>
      <c r="J70" s="53">
        <f>TRUNC(I70*C70,0)</f>
        <v>35112</v>
      </c>
      <c r="K70" s="53">
        <f>일위대가목록!H27</f>
        <v>1150</v>
      </c>
      <c r="L70" s="53">
        <f>TRUNC(K70*C70,0)</f>
        <v>644</v>
      </c>
      <c r="M70" s="57" t="s">
        <v>374</v>
      </c>
      <c r="AV70" s="63"/>
    </row>
    <row r="71" spans="1:48" ht="18" customHeight="1">
      <c r="A71" s="51" t="s">
        <v>307</v>
      </c>
      <c r="B71" s="56"/>
      <c r="C71" s="58" t="s">
        <v>320</v>
      </c>
      <c r="D71" s="56" t="s">
        <v>56</v>
      </c>
      <c r="E71" s="53">
        <f>G71+I71+K71</f>
        <v>84921</v>
      </c>
      <c r="F71" s="53">
        <f>H71+J71+L71</f>
        <v>25476</v>
      </c>
      <c r="G71" s="53">
        <f>일위대가목록!F28</f>
        <v>25400</v>
      </c>
      <c r="H71" s="53">
        <f>TRUNC(G71*C71,0)</f>
        <v>7620</v>
      </c>
      <c r="I71" s="53">
        <f>일위대가목록!G28</f>
        <v>59521</v>
      </c>
      <c r="J71" s="53">
        <f>TRUNC(I71*C71,0)</f>
        <v>17856</v>
      </c>
      <c r="K71" s="53">
        <f>일위대가목록!H28</f>
        <v>0</v>
      </c>
      <c r="L71" s="53">
        <f>TRUNC(K71*C71,0)</f>
        <v>0</v>
      </c>
      <c r="M71" s="57" t="s">
        <v>411</v>
      </c>
      <c r="AV71" s="63"/>
    </row>
    <row r="72" spans="1:48" ht="18" customHeight="1">
      <c r="A72" s="51" t="s">
        <v>308</v>
      </c>
      <c r="B72" s="56"/>
      <c r="C72" s="58" t="s">
        <v>319</v>
      </c>
      <c r="D72" s="56" t="s">
        <v>56</v>
      </c>
      <c r="E72" s="53">
        <f>G72+I72+K72</f>
        <v>40505</v>
      </c>
      <c r="F72" s="53">
        <f>H72+J72+L72</f>
        <v>22682</v>
      </c>
      <c r="G72" s="53">
        <f>일위대가목록!F29</f>
        <v>5062</v>
      </c>
      <c r="H72" s="53">
        <f>TRUNC(G72*C72,0)</f>
        <v>2834</v>
      </c>
      <c r="I72" s="53">
        <f>일위대가목록!G29</f>
        <v>35443</v>
      </c>
      <c r="J72" s="53">
        <f>TRUNC(I72*C72,0)</f>
        <v>19848</v>
      </c>
      <c r="K72" s="53">
        <f>일위대가목록!H29</f>
        <v>0</v>
      </c>
      <c r="L72" s="53">
        <f>TRUNC(K72*C72,0)</f>
        <v>0</v>
      </c>
      <c r="M72" s="57" t="s">
        <v>412</v>
      </c>
      <c r="AV72" s="63"/>
    </row>
    <row r="73" spans="1:48" ht="18" customHeight="1">
      <c r="A73" s="51"/>
      <c r="B73" s="56"/>
      <c r="C73" s="51"/>
      <c r="D73" s="56"/>
      <c r="E73" s="53"/>
      <c r="F73" s="53"/>
      <c r="G73" s="53"/>
      <c r="H73" s="53"/>
      <c r="I73" s="53"/>
      <c r="J73" s="53"/>
      <c r="K73" s="53"/>
      <c r="L73" s="53"/>
      <c r="M73" s="57"/>
      <c r="AV73" s="63"/>
    </row>
    <row r="74" spans="1:48" ht="18" customHeight="1">
      <c r="A74" s="51" t="s">
        <v>397</v>
      </c>
      <c r="B74" s="56" t="s">
        <v>322</v>
      </c>
      <c r="C74" s="51">
        <v>1</v>
      </c>
      <c r="D74" s="56" t="s">
        <v>220</v>
      </c>
      <c r="E74" s="53"/>
      <c r="F74" s="53">
        <f>H74+J74+L74</f>
        <v>71760</v>
      </c>
      <c r="G74" s="53"/>
      <c r="H74" s="53">
        <f>SUM(H75:H84)</f>
        <v>17235</v>
      </c>
      <c r="I74" s="53"/>
      <c r="J74" s="53">
        <f>SUM(J75:J84)</f>
        <v>54164</v>
      </c>
      <c r="K74" s="53"/>
      <c r="L74" s="53">
        <f>SUM(L75:L84)</f>
        <v>361</v>
      </c>
      <c r="M74" s="57"/>
      <c r="AV74" s="63"/>
    </row>
    <row r="75" spans="1:48" ht="18" customHeight="1">
      <c r="A75" s="51" t="s">
        <v>305</v>
      </c>
      <c r="B75" s="56" t="s">
        <v>324</v>
      </c>
      <c r="C75" s="58" t="s">
        <v>323</v>
      </c>
      <c r="D75" s="56" t="s">
        <v>56</v>
      </c>
      <c r="E75" s="53">
        <f>G75+I75+K75</f>
        <v>77948</v>
      </c>
      <c r="F75" s="53">
        <f>H75+J75+L75</f>
        <v>12470</v>
      </c>
      <c r="G75" s="53">
        <f>일위대가목록!F26</f>
        <v>16235</v>
      </c>
      <c r="H75" s="53">
        <f>TRUNC(G75*C75,0)</f>
        <v>2597</v>
      </c>
      <c r="I75" s="53">
        <f>일위대가목록!G26</f>
        <v>60603</v>
      </c>
      <c r="J75" s="53">
        <f>TRUNC(I75*C75,0)</f>
        <v>9696</v>
      </c>
      <c r="K75" s="53">
        <f>일위대가목록!H26</f>
        <v>1110</v>
      </c>
      <c r="L75" s="53">
        <f>TRUNC(K75*C75,0)</f>
        <v>177</v>
      </c>
      <c r="M75" s="57" t="s">
        <v>410</v>
      </c>
      <c r="AV75" s="63"/>
    </row>
    <row r="76" spans="1:48" ht="18" customHeight="1">
      <c r="A76" s="51" t="s">
        <v>306</v>
      </c>
      <c r="B76" s="56" t="s">
        <v>326</v>
      </c>
      <c r="C76" s="58" t="s">
        <v>323</v>
      </c>
      <c r="D76" s="56" t="s">
        <v>56</v>
      </c>
      <c r="E76" s="53">
        <f>G76+I76+K76</f>
        <v>89684</v>
      </c>
      <c r="F76" s="53">
        <f>H76+J76+L76</f>
        <v>14349</v>
      </c>
      <c r="G76" s="53">
        <f>일위대가목록!F27</f>
        <v>25834</v>
      </c>
      <c r="H76" s="53">
        <f>TRUNC(G76*C76,0)</f>
        <v>4133</v>
      </c>
      <c r="I76" s="53">
        <f>일위대가목록!G27</f>
        <v>62700</v>
      </c>
      <c r="J76" s="53">
        <f>TRUNC(I76*C76,0)</f>
        <v>10032</v>
      </c>
      <c r="K76" s="53">
        <f>일위대가목록!H27</f>
        <v>1150</v>
      </c>
      <c r="L76" s="53">
        <f>TRUNC(K76*C76,0)</f>
        <v>184</v>
      </c>
      <c r="M76" s="57" t="s">
        <v>374</v>
      </c>
      <c r="AV76" s="63"/>
    </row>
    <row r="77" spans="1:48" ht="18" customHeight="1">
      <c r="A77" s="51" t="s">
        <v>307</v>
      </c>
      <c r="B77" s="56"/>
      <c r="C77" s="58" t="s">
        <v>320</v>
      </c>
      <c r="D77" s="56" t="s">
        <v>56</v>
      </c>
      <c r="E77" s="53">
        <f>G77+I77+K77</f>
        <v>84921</v>
      </c>
      <c r="F77" s="53">
        <f>H77+J77+L77</f>
        <v>25476</v>
      </c>
      <c r="G77" s="53">
        <f>일위대가목록!F28</f>
        <v>25400</v>
      </c>
      <c r="H77" s="53">
        <f>TRUNC(G77*C77,0)</f>
        <v>7620</v>
      </c>
      <c r="I77" s="53">
        <f>일위대가목록!G28</f>
        <v>59521</v>
      </c>
      <c r="J77" s="53">
        <f>TRUNC(I77*C77,0)</f>
        <v>17856</v>
      </c>
      <c r="K77" s="53">
        <f>일위대가목록!H28</f>
        <v>0</v>
      </c>
      <c r="L77" s="53">
        <f>TRUNC(K77*C77,0)</f>
        <v>0</v>
      </c>
      <c r="M77" s="57" t="s">
        <v>411</v>
      </c>
      <c r="AV77" s="63"/>
    </row>
    <row r="78" spans="1:48" ht="18" customHeight="1">
      <c r="A78" s="51" t="s">
        <v>308</v>
      </c>
      <c r="B78" s="56"/>
      <c r="C78" s="58" t="s">
        <v>323</v>
      </c>
      <c r="D78" s="56" t="s">
        <v>56</v>
      </c>
      <c r="E78" s="53">
        <f>G78+I78+K78</f>
        <v>40505</v>
      </c>
      <c r="F78" s="53">
        <f>H78+J78+L78</f>
        <v>6479</v>
      </c>
      <c r="G78" s="53">
        <f>일위대가목록!F29</f>
        <v>5062</v>
      </c>
      <c r="H78" s="53">
        <f>TRUNC(G78*C78,0)</f>
        <v>809</v>
      </c>
      <c r="I78" s="53">
        <f>일위대가목록!G29</f>
        <v>35443</v>
      </c>
      <c r="J78" s="53">
        <f>TRUNC(I78*C78,0)</f>
        <v>5670</v>
      </c>
      <c r="K78" s="53">
        <f>일위대가목록!H29</f>
        <v>0</v>
      </c>
      <c r="L78" s="53">
        <f>TRUNC(K78*C78,0)</f>
        <v>0</v>
      </c>
      <c r="M78" s="57" t="s">
        <v>412</v>
      </c>
      <c r="AV78" s="63"/>
    </row>
    <row r="79" spans="1:48" ht="18" customHeight="1">
      <c r="A79" s="51"/>
      <c r="B79" s="56"/>
      <c r="C79" s="51"/>
      <c r="D79" s="56"/>
      <c r="E79" s="53"/>
      <c r="F79" s="53"/>
      <c r="G79" s="53"/>
      <c r="H79" s="53"/>
      <c r="I79" s="53"/>
      <c r="J79" s="53"/>
      <c r="K79" s="53"/>
      <c r="L79" s="53"/>
      <c r="M79" s="57"/>
      <c r="AV79" s="63"/>
    </row>
    <row r="80" spans="1:48" ht="18" customHeight="1">
      <c r="A80" s="51" t="s">
        <v>398</v>
      </c>
      <c r="B80" s="56" t="s">
        <v>331</v>
      </c>
      <c r="C80" s="51">
        <v>1</v>
      </c>
      <c r="D80" s="56" t="s">
        <v>333</v>
      </c>
      <c r="E80" s="53"/>
      <c r="F80" s="53">
        <f>H80+J80+L80</f>
        <v>6493</v>
      </c>
      <c r="G80" s="53"/>
      <c r="H80" s="53">
        <f>SUM(H81:H84)</f>
        <v>1038</v>
      </c>
      <c r="I80" s="53"/>
      <c r="J80" s="53">
        <f>SUM(J81:J84)</f>
        <v>5455</v>
      </c>
      <c r="K80" s="53"/>
      <c r="L80" s="53">
        <f>SUM(L81:L84)</f>
        <v>0</v>
      </c>
      <c r="M80" s="57"/>
      <c r="AV80" s="63"/>
    </row>
    <row r="81" spans="1:48" ht="18" customHeight="1">
      <c r="A81" s="51" t="s">
        <v>337</v>
      </c>
      <c r="B81" s="56" t="s">
        <v>338</v>
      </c>
      <c r="C81" s="58" t="s">
        <v>339</v>
      </c>
      <c r="D81" s="56" t="s">
        <v>220</v>
      </c>
      <c r="E81" s="53">
        <f>G81+I81+K81</f>
        <v>2966</v>
      </c>
      <c r="F81" s="53">
        <f>H81+J81+L81</f>
        <v>1038</v>
      </c>
      <c r="G81" s="53">
        <v>2966</v>
      </c>
      <c r="H81" s="53">
        <f>TRUNC(G81*C81,0)</f>
        <v>1038</v>
      </c>
      <c r="I81" s="53"/>
      <c r="J81" s="53">
        <f>TRUNC(I81*C81,0)</f>
        <v>0</v>
      </c>
      <c r="K81" s="53"/>
      <c r="L81" s="53">
        <f>TRUNC(K81*C81,0)</f>
        <v>0</v>
      </c>
      <c r="M81" s="57" t="s">
        <v>354</v>
      </c>
      <c r="AV81" s="63"/>
    </row>
    <row r="82" spans="1:48" ht="18" customHeight="1">
      <c r="A82" s="51" t="s">
        <v>340</v>
      </c>
      <c r="B82" s="56" t="s">
        <v>326</v>
      </c>
      <c r="C82" s="58" t="s">
        <v>341</v>
      </c>
      <c r="D82" s="56" t="s">
        <v>342</v>
      </c>
      <c r="E82" s="53">
        <f>G82+I82+K82</f>
        <v>214118</v>
      </c>
      <c r="F82" s="53">
        <f>H82+J82+L82</f>
        <v>3147</v>
      </c>
      <c r="G82" s="53"/>
      <c r="H82" s="53">
        <f>TRUNC(G82*C82,0)</f>
        <v>0</v>
      </c>
      <c r="I82" s="53">
        <f>노임단가!D8</f>
        <v>214118</v>
      </c>
      <c r="J82" s="53">
        <f>TRUNC(I82*C82,0)</f>
        <v>3147</v>
      </c>
      <c r="K82" s="53"/>
      <c r="L82" s="53">
        <f>TRUNC(K82*C82,0)</f>
        <v>0</v>
      </c>
      <c r="M82" s="57" t="s">
        <v>369</v>
      </c>
      <c r="AV82" s="63"/>
    </row>
    <row r="83" spans="1:48" ht="18" customHeight="1">
      <c r="A83" s="51" t="s">
        <v>318</v>
      </c>
      <c r="B83" s="56"/>
      <c r="C83" s="58" t="s">
        <v>341</v>
      </c>
      <c r="D83" s="56" t="s">
        <v>342</v>
      </c>
      <c r="E83" s="53">
        <f>G83+I83+K83</f>
        <v>157068</v>
      </c>
      <c r="F83" s="53">
        <f>H83+J83+L83</f>
        <v>2308</v>
      </c>
      <c r="G83" s="53"/>
      <c r="H83" s="53">
        <f>TRUNC(G83*C83,0)</f>
        <v>0</v>
      </c>
      <c r="I83" s="53">
        <f>노임단가!D11</f>
        <v>157068</v>
      </c>
      <c r="J83" s="53">
        <f>TRUNC(I83*C83,0)</f>
        <v>2308</v>
      </c>
      <c r="K83" s="53"/>
      <c r="L83" s="53">
        <f>TRUNC(K83*C83,0)</f>
        <v>0</v>
      </c>
      <c r="M83" s="57" t="s">
        <v>369</v>
      </c>
      <c r="AV83" s="63"/>
    </row>
    <row r="84" spans="1:48" ht="18" customHeight="1">
      <c r="A84" s="51"/>
      <c r="B84" s="56"/>
      <c r="C84" s="51"/>
      <c r="D84" s="56"/>
      <c r="E84" s="53"/>
      <c r="F84" s="53"/>
      <c r="G84" s="53"/>
      <c r="H84" s="53"/>
      <c r="I84" s="53"/>
      <c r="J84" s="53"/>
      <c r="K84" s="53"/>
      <c r="L84" s="53"/>
      <c r="M84" s="57"/>
      <c r="AV84" s="63"/>
    </row>
    <row r="85" spans="1:13" ht="18" customHeight="1">
      <c r="A85" s="51" t="s">
        <v>399</v>
      </c>
      <c r="B85" s="56" t="s">
        <v>197</v>
      </c>
      <c r="C85" s="51">
        <v>1</v>
      </c>
      <c r="D85" s="56" t="s">
        <v>347</v>
      </c>
      <c r="E85" s="52"/>
      <c r="F85" s="53">
        <f>H85+J85+L85</f>
        <v>2800000</v>
      </c>
      <c r="G85" s="52"/>
      <c r="H85" s="53">
        <f>SUM(H86:H86)</f>
        <v>0</v>
      </c>
      <c r="I85" s="52"/>
      <c r="J85" s="53">
        <f>SUM(J86:J86)</f>
        <v>0</v>
      </c>
      <c r="K85" s="52"/>
      <c r="L85" s="53">
        <f>SUM(L86:L86)</f>
        <v>2800000</v>
      </c>
      <c r="M85" s="57" t="s">
        <v>129</v>
      </c>
    </row>
    <row r="86" spans="1:48" ht="18" customHeight="1">
      <c r="A86" s="51" t="s">
        <v>211</v>
      </c>
      <c r="B86" s="56"/>
      <c r="C86" s="58" t="s">
        <v>194</v>
      </c>
      <c r="D86" s="56" t="s">
        <v>347</v>
      </c>
      <c r="E86" s="53">
        <f>G86+I86+K86</f>
        <v>2800000</v>
      </c>
      <c r="F86" s="53">
        <f>H86+J86+L86</f>
        <v>2800000</v>
      </c>
      <c r="G86" s="53">
        <v>0</v>
      </c>
      <c r="H86" s="53">
        <f>TRUNC(G86*C86,0)</f>
        <v>0</v>
      </c>
      <c r="I86" s="53"/>
      <c r="J86" s="53">
        <f>TRUNC(I86*C86,0)</f>
        <v>0</v>
      </c>
      <c r="K86" s="53">
        <v>2800000</v>
      </c>
      <c r="L86" s="53">
        <f>TRUNC(K86*C86,0)</f>
        <v>2800000</v>
      </c>
      <c r="M86" s="57" t="s">
        <v>216</v>
      </c>
      <c r="AV86" s="63" t="str">
        <f>HYPERLINK("#자재조서!A22","MY-DK-W1 →")</f>
        <v>MY-DK-W1 →</v>
      </c>
    </row>
    <row r="87" spans="1:13" ht="18" customHeight="1">
      <c r="A87" s="51"/>
      <c r="B87" s="56"/>
      <c r="C87" s="51"/>
      <c r="D87" s="56"/>
      <c r="E87" s="52"/>
      <c r="F87" s="53"/>
      <c r="G87" s="52"/>
      <c r="H87" s="53"/>
      <c r="I87" s="52"/>
      <c r="J87" s="53"/>
      <c r="K87" s="52"/>
      <c r="L87" s="53"/>
      <c r="M87" s="57"/>
    </row>
    <row r="88" spans="1:13" ht="18" customHeight="1">
      <c r="A88" s="51" t="s">
        <v>367</v>
      </c>
      <c r="B88" s="56" t="s">
        <v>356</v>
      </c>
      <c r="C88" s="51">
        <v>1</v>
      </c>
      <c r="D88" s="56" t="s">
        <v>27</v>
      </c>
      <c r="E88" s="52"/>
      <c r="F88" s="53">
        <f>H88+J88+L88</f>
        <v>23678</v>
      </c>
      <c r="G88" s="52"/>
      <c r="H88" s="53">
        <f>SUM(H89:H90)</f>
        <v>0</v>
      </c>
      <c r="I88" s="52"/>
      <c r="J88" s="53">
        <f>SUM(J89:J90)</f>
        <v>23678</v>
      </c>
      <c r="K88" s="52"/>
      <c r="L88" s="53">
        <f>SUM(L89:L90)</f>
        <v>0</v>
      </c>
      <c r="M88" s="57" t="s">
        <v>129</v>
      </c>
    </row>
    <row r="89" spans="1:48" ht="18" customHeight="1">
      <c r="A89" s="51" t="s">
        <v>128</v>
      </c>
      <c r="B89" s="56"/>
      <c r="C89" s="58" t="s">
        <v>357</v>
      </c>
      <c r="D89" s="56" t="s">
        <v>118</v>
      </c>
      <c r="E89" s="53">
        <f>G89+I89+K89</f>
        <v>203631</v>
      </c>
      <c r="F89" s="53">
        <f>H89+J89+L89</f>
        <v>14254</v>
      </c>
      <c r="G89" s="53">
        <v>0</v>
      </c>
      <c r="H89" s="53">
        <f>TRUNC(G89*C89,0)</f>
        <v>0</v>
      </c>
      <c r="I89" s="53">
        <v>203631</v>
      </c>
      <c r="J89" s="53">
        <f>TRUNC(I89*C89,0)</f>
        <v>14254</v>
      </c>
      <c r="K89" s="53"/>
      <c r="L89" s="53">
        <f>TRUNC(K89*C89,0)</f>
        <v>0</v>
      </c>
      <c r="M89" s="57" t="s">
        <v>369</v>
      </c>
      <c r="AV89" s="63" t="str">
        <f>HYPERLINK("#자재조서!A22","MY-DK-W1 →")</f>
        <v>MY-DK-W1 →</v>
      </c>
    </row>
    <row r="90" spans="1:48" ht="18" customHeight="1">
      <c r="A90" s="51" t="s">
        <v>7</v>
      </c>
      <c r="B90" s="56"/>
      <c r="C90" s="58" t="s">
        <v>358</v>
      </c>
      <c r="D90" s="56" t="s">
        <v>118</v>
      </c>
      <c r="E90" s="53">
        <f>G90+I90+K90</f>
        <v>157068</v>
      </c>
      <c r="F90" s="53">
        <f>H90+J90+L90</f>
        <v>9424</v>
      </c>
      <c r="G90" s="53">
        <v>0</v>
      </c>
      <c r="H90" s="53">
        <f>TRUNC(G90*C90,0)</f>
        <v>0</v>
      </c>
      <c r="I90" s="53">
        <v>157068</v>
      </c>
      <c r="J90" s="53">
        <f>TRUNC(I90*C90,0)</f>
        <v>9424</v>
      </c>
      <c r="K90" s="53"/>
      <c r="L90" s="53">
        <f>TRUNC(K90*C90,0)</f>
        <v>0</v>
      </c>
      <c r="M90" s="57" t="s">
        <v>369</v>
      </c>
      <c r="AV90" s="63" t="str">
        <f>HYPERLINK("#자재조서!A22","MY-DK-W1 →")</f>
        <v>MY-DK-W1 →</v>
      </c>
    </row>
    <row r="91" spans="1:48" ht="18" customHeight="1">
      <c r="A91" s="51"/>
      <c r="B91" s="56"/>
      <c r="C91" s="51"/>
      <c r="D91" s="56"/>
      <c r="E91" s="53"/>
      <c r="F91" s="53"/>
      <c r="G91" s="53"/>
      <c r="H91" s="53"/>
      <c r="I91" s="53"/>
      <c r="J91" s="53"/>
      <c r="K91" s="53"/>
      <c r="L91" s="53"/>
      <c r="M91" s="57"/>
      <c r="AV91" s="63"/>
    </row>
    <row r="92" spans="1:13" ht="18" customHeight="1">
      <c r="A92" s="51" t="s">
        <v>400</v>
      </c>
      <c r="B92" s="56" t="s">
        <v>181</v>
      </c>
      <c r="C92" s="51">
        <v>1</v>
      </c>
      <c r="D92" s="56" t="s">
        <v>27</v>
      </c>
      <c r="E92" s="52"/>
      <c r="F92" s="53">
        <f>H92+J92+L92</f>
        <v>36535</v>
      </c>
      <c r="G92" s="52"/>
      <c r="H92" s="53">
        <f>SUM(H93:H94)</f>
        <v>0</v>
      </c>
      <c r="I92" s="52"/>
      <c r="J92" s="53">
        <f>SUM(J93:J94)</f>
        <v>36535</v>
      </c>
      <c r="K92" s="52"/>
      <c r="L92" s="53">
        <f>SUM(L93:L94)</f>
        <v>0</v>
      </c>
      <c r="M92" s="57" t="s">
        <v>129</v>
      </c>
    </row>
    <row r="93" spans="1:48" ht="18" customHeight="1">
      <c r="A93" s="51" t="s">
        <v>128</v>
      </c>
      <c r="B93" s="56"/>
      <c r="C93" s="58">
        <v>0.11</v>
      </c>
      <c r="D93" s="56" t="s">
        <v>118</v>
      </c>
      <c r="E93" s="53">
        <f>G93+I93+K93</f>
        <v>203631</v>
      </c>
      <c r="F93" s="53">
        <f>H93+J93+L93</f>
        <v>22399</v>
      </c>
      <c r="G93" s="53">
        <v>0</v>
      </c>
      <c r="H93" s="53">
        <f>TRUNC(G93*C93,0)</f>
        <v>0</v>
      </c>
      <c r="I93" s="53">
        <v>203631</v>
      </c>
      <c r="J93" s="53">
        <f>TRUNC(I93*C93,0)</f>
        <v>22399</v>
      </c>
      <c r="K93" s="53"/>
      <c r="L93" s="53">
        <f>TRUNC(K93*C93,0)</f>
        <v>0</v>
      </c>
      <c r="M93" s="57" t="s">
        <v>369</v>
      </c>
      <c r="AV93" s="63" t="str">
        <f>HYPERLINK("#자재조서!A22","MY-DK-W1 →")</f>
        <v>MY-DK-W1 →</v>
      </c>
    </row>
    <row r="94" spans="1:48" ht="18" customHeight="1">
      <c r="A94" s="51" t="s">
        <v>7</v>
      </c>
      <c r="B94" s="56"/>
      <c r="C94" s="51">
        <v>0.09</v>
      </c>
      <c r="D94" s="56" t="s">
        <v>118</v>
      </c>
      <c r="E94" s="53">
        <f>G94+I94+K94</f>
        <v>157068</v>
      </c>
      <c r="F94" s="53">
        <f>H94+J94+L94</f>
        <v>14136</v>
      </c>
      <c r="G94" s="53">
        <v>0</v>
      </c>
      <c r="H94" s="53">
        <f>TRUNC(G94*C94,0)</f>
        <v>0</v>
      </c>
      <c r="I94" s="53">
        <v>157068</v>
      </c>
      <c r="J94" s="53">
        <f>TRUNC(I94*C94,0)</f>
        <v>14136</v>
      </c>
      <c r="K94" s="53"/>
      <c r="L94" s="53">
        <f>TRUNC(K94*C94,0)</f>
        <v>0</v>
      </c>
      <c r="M94" s="57" t="s">
        <v>369</v>
      </c>
      <c r="AV94" s="63" t="str">
        <f>HYPERLINK("#자재조서!A22","MY-DK-W1 →")</f>
        <v>MY-DK-W1 →</v>
      </c>
    </row>
    <row r="95" spans="1:48" ht="18" customHeight="1">
      <c r="A95" s="51"/>
      <c r="B95" s="56"/>
      <c r="C95" s="51"/>
      <c r="D95" s="56"/>
      <c r="E95" s="53"/>
      <c r="F95" s="53"/>
      <c r="G95" s="53"/>
      <c r="H95" s="53"/>
      <c r="I95" s="53"/>
      <c r="J95" s="53"/>
      <c r="K95" s="53"/>
      <c r="L95" s="53"/>
      <c r="M95" s="57"/>
      <c r="AV95" s="63"/>
    </row>
    <row r="96" spans="1:13" ht="18" customHeight="1">
      <c r="A96" s="51" t="s">
        <v>401</v>
      </c>
      <c r="B96" s="56" t="s">
        <v>382</v>
      </c>
      <c r="C96" s="51">
        <v>1</v>
      </c>
      <c r="D96" s="56" t="s">
        <v>27</v>
      </c>
      <c r="E96" s="52"/>
      <c r="F96" s="53">
        <f>H96+J96+L96</f>
        <v>2507</v>
      </c>
      <c r="G96" s="52"/>
      <c r="H96" s="53">
        <f>SUM(H97:H98)</f>
        <v>0</v>
      </c>
      <c r="I96" s="52"/>
      <c r="J96" s="53">
        <f>SUM(J97:J98)</f>
        <v>2507</v>
      </c>
      <c r="K96" s="52"/>
      <c r="L96" s="53">
        <f>SUM(L97:L98)</f>
        <v>0</v>
      </c>
      <c r="M96" s="57" t="s">
        <v>129</v>
      </c>
    </row>
    <row r="97" spans="1:48" ht="18" customHeight="1">
      <c r="A97" s="51" t="s">
        <v>128</v>
      </c>
      <c r="B97" s="56"/>
      <c r="C97" s="58" t="s">
        <v>384</v>
      </c>
      <c r="D97" s="56" t="s">
        <v>118</v>
      </c>
      <c r="E97" s="53">
        <f>G97+I97+K97</f>
        <v>203631</v>
      </c>
      <c r="F97" s="53">
        <f>H97+J97+L97</f>
        <v>2036</v>
      </c>
      <c r="G97" s="53">
        <v>0</v>
      </c>
      <c r="H97" s="53">
        <f>TRUNC(G97*C97,0)</f>
        <v>0</v>
      </c>
      <c r="I97" s="53">
        <v>203631</v>
      </c>
      <c r="J97" s="53">
        <f>TRUNC(I97*C97,0)</f>
        <v>2036</v>
      </c>
      <c r="K97" s="53"/>
      <c r="L97" s="53">
        <f>TRUNC(K97*C97,0)</f>
        <v>0</v>
      </c>
      <c r="M97" s="57" t="s">
        <v>369</v>
      </c>
      <c r="AV97" s="63" t="str">
        <f>HYPERLINK("#자재조서!A22","MY-DK-W1 →")</f>
        <v>MY-DK-W1 →</v>
      </c>
    </row>
    <row r="98" spans="1:48" ht="18" customHeight="1">
      <c r="A98" s="51" t="s">
        <v>7</v>
      </c>
      <c r="B98" s="56"/>
      <c r="C98" s="51" t="s">
        <v>385</v>
      </c>
      <c r="D98" s="56" t="s">
        <v>118</v>
      </c>
      <c r="E98" s="53">
        <f>G98+I98+K98</f>
        <v>157068</v>
      </c>
      <c r="F98" s="53">
        <f>H98+J98+L98</f>
        <v>471</v>
      </c>
      <c r="G98" s="53">
        <v>0</v>
      </c>
      <c r="H98" s="53">
        <f>TRUNC(G98*C98,0)</f>
        <v>0</v>
      </c>
      <c r="I98" s="53">
        <v>157068</v>
      </c>
      <c r="J98" s="53">
        <f>TRUNC(I98*C98,0)</f>
        <v>471</v>
      </c>
      <c r="K98" s="53"/>
      <c r="L98" s="53">
        <f>TRUNC(K98*C98,0)</f>
        <v>0</v>
      </c>
      <c r="M98" s="57" t="s">
        <v>369</v>
      </c>
      <c r="AV98" s="63" t="str">
        <f>HYPERLINK("#자재조서!A22","MY-DK-W1 →")</f>
        <v>MY-DK-W1 →</v>
      </c>
    </row>
    <row r="99" spans="1:48" ht="18" customHeight="1">
      <c r="A99" s="51"/>
      <c r="B99" s="56"/>
      <c r="C99" s="51"/>
      <c r="D99" s="56"/>
      <c r="E99" s="53"/>
      <c r="F99" s="53"/>
      <c r="G99" s="53"/>
      <c r="H99" s="53"/>
      <c r="I99" s="53"/>
      <c r="J99" s="53"/>
      <c r="K99" s="53"/>
      <c r="L99" s="53"/>
      <c r="M99" s="57"/>
      <c r="AV99" s="63"/>
    </row>
    <row r="100" spans="1:13" ht="18" customHeight="1">
      <c r="A100" s="51" t="s">
        <v>402</v>
      </c>
      <c r="B100" s="56" t="s">
        <v>183</v>
      </c>
      <c r="C100" s="51">
        <v>1</v>
      </c>
      <c r="D100" s="56" t="s">
        <v>170</v>
      </c>
      <c r="E100" s="52"/>
      <c r="F100" s="53">
        <f>H100+J100+L100</f>
        <v>430</v>
      </c>
      <c r="G100" s="52"/>
      <c r="H100" s="53">
        <f>SUM(H101:H102)</f>
        <v>0</v>
      </c>
      <c r="I100" s="52"/>
      <c r="J100" s="53">
        <f>SUM(J101:J102)</f>
        <v>430</v>
      </c>
      <c r="K100" s="52"/>
      <c r="L100" s="53">
        <f>SUM(L101:L102)</f>
        <v>0</v>
      </c>
      <c r="M100" s="57" t="s">
        <v>129</v>
      </c>
    </row>
    <row r="101" spans="1:48" ht="18" customHeight="1">
      <c r="A101" s="51" t="s">
        <v>128</v>
      </c>
      <c r="B101" s="56"/>
      <c r="C101" s="58">
        <v>0.0015</v>
      </c>
      <c r="D101" s="56" t="s">
        <v>118</v>
      </c>
      <c r="E101" s="53">
        <f>G101+I101+K101</f>
        <v>203631</v>
      </c>
      <c r="F101" s="53">
        <f>H101+J101+L101</f>
        <v>305</v>
      </c>
      <c r="G101" s="53">
        <v>0</v>
      </c>
      <c r="H101" s="53">
        <f>TRUNC(G101*C101,0)</f>
        <v>0</v>
      </c>
      <c r="I101" s="53">
        <v>203631</v>
      </c>
      <c r="J101" s="53">
        <f>TRUNC(I101*C101,0)</f>
        <v>305</v>
      </c>
      <c r="K101" s="53"/>
      <c r="L101" s="53">
        <f>TRUNC(K101*C101,0)</f>
        <v>0</v>
      </c>
      <c r="M101" s="57" t="s">
        <v>369</v>
      </c>
      <c r="AV101" s="63" t="str">
        <f>HYPERLINK("#자재조서!A22","MY-DK-W1 →")</f>
        <v>MY-DK-W1 →</v>
      </c>
    </row>
    <row r="102" spans="1:48" ht="18" customHeight="1">
      <c r="A102" s="51" t="s">
        <v>7</v>
      </c>
      <c r="B102" s="56"/>
      <c r="C102" s="51">
        <v>0.0008</v>
      </c>
      <c r="D102" s="56" t="s">
        <v>118</v>
      </c>
      <c r="E102" s="53">
        <f>G102+I102+K102</f>
        <v>157068</v>
      </c>
      <c r="F102" s="53">
        <f>H102+J102+L102</f>
        <v>125</v>
      </c>
      <c r="G102" s="53">
        <v>0</v>
      </c>
      <c r="H102" s="53">
        <f>TRUNC(G102*C102,0)</f>
        <v>0</v>
      </c>
      <c r="I102" s="53">
        <v>157068</v>
      </c>
      <c r="J102" s="53">
        <f>TRUNC(I102*C102,0)</f>
        <v>125</v>
      </c>
      <c r="K102" s="53"/>
      <c r="L102" s="53">
        <f>TRUNC(K102*C102,0)</f>
        <v>0</v>
      </c>
      <c r="M102" s="57" t="s">
        <v>369</v>
      </c>
      <c r="AV102" s="63" t="str">
        <f>HYPERLINK("#자재조서!A22","MY-DK-W1 →")</f>
        <v>MY-DK-W1 →</v>
      </c>
    </row>
    <row r="103" spans="1:48" ht="18" customHeight="1">
      <c r="A103" s="51"/>
      <c r="B103" s="56"/>
      <c r="C103" s="51"/>
      <c r="D103" s="56"/>
      <c r="E103" s="53"/>
      <c r="F103" s="53"/>
      <c r="G103" s="53"/>
      <c r="H103" s="53"/>
      <c r="I103" s="53"/>
      <c r="J103" s="53"/>
      <c r="K103" s="53"/>
      <c r="L103" s="53"/>
      <c r="M103" s="57"/>
      <c r="AV103" s="63"/>
    </row>
    <row r="104" spans="1:48" ht="18" customHeight="1">
      <c r="A104" s="51" t="s">
        <v>403</v>
      </c>
      <c r="B104" s="56" t="s">
        <v>223</v>
      </c>
      <c r="C104" s="51">
        <v>1</v>
      </c>
      <c r="D104" s="56" t="s">
        <v>224</v>
      </c>
      <c r="E104" s="53"/>
      <c r="F104" s="53">
        <f>H104+J104+L104</f>
        <v>6679852</v>
      </c>
      <c r="G104" s="53"/>
      <c r="H104" s="53">
        <f>SUM(H105:H110)</f>
        <v>126034</v>
      </c>
      <c r="I104" s="53"/>
      <c r="J104" s="53">
        <f>SUM(J105:J110)</f>
        <v>6301749</v>
      </c>
      <c r="K104" s="53"/>
      <c r="L104" s="53">
        <f>SUM(L105:L110)</f>
        <v>252069</v>
      </c>
      <c r="M104" s="57"/>
      <c r="AV104" s="63"/>
    </row>
    <row r="105" spans="1:48" ht="18" customHeight="1">
      <c r="A105" s="51" t="s">
        <v>270</v>
      </c>
      <c r="B105" s="56" t="s">
        <v>129</v>
      </c>
      <c r="C105" s="51">
        <v>16.09</v>
      </c>
      <c r="D105" s="56" t="s">
        <v>118</v>
      </c>
      <c r="E105" s="53">
        <f aca="true" t="shared" si="0" ref="E105:E110">G105+I105+K105</f>
        <v>223124</v>
      </c>
      <c r="F105" s="53">
        <f aca="true" t="shared" si="1" ref="F105:F110">H105+J105+L105</f>
        <v>3590065</v>
      </c>
      <c r="G105" s="53"/>
      <c r="H105" s="53">
        <f aca="true" t="shared" si="2" ref="H105:H110">TRUNC(G105*C105,0)</f>
        <v>0</v>
      </c>
      <c r="I105" s="53">
        <f>노임단가!D3</f>
        <v>223124</v>
      </c>
      <c r="J105" s="53">
        <f aca="true" t="shared" si="3" ref="J105:J110">TRUNC(I105*C105,0)</f>
        <v>3590065</v>
      </c>
      <c r="K105" s="53"/>
      <c r="L105" s="53">
        <f aca="true" t="shared" si="4" ref="L105:L110">TRUNC(K105*C105,0)</f>
        <v>0</v>
      </c>
      <c r="M105" s="57" t="s">
        <v>369</v>
      </c>
      <c r="AV105" s="63"/>
    </row>
    <row r="106" spans="1:48" ht="18" customHeight="1">
      <c r="A106" s="51" t="s">
        <v>271</v>
      </c>
      <c r="B106" s="56" t="s">
        <v>129</v>
      </c>
      <c r="C106" s="51">
        <v>4.39</v>
      </c>
      <c r="D106" s="56" t="s">
        <v>118</v>
      </c>
      <c r="E106" s="53">
        <f t="shared" si="0"/>
        <v>249748</v>
      </c>
      <c r="F106" s="53">
        <f t="shared" si="1"/>
        <v>1096393</v>
      </c>
      <c r="G106" s="53"/>
      <c r="H106" s="53">
        <f t="shared" si="2"/>
        <v>0</v>
      </c>
      <c r="I106" s="53">
        <f>노임단가!D12</f>
        <v>249748</v>
      </c>
      <c r="J106" s="53">
        <f t="shared" si="3"/>
        <v>1096393</v>
      </c>
      <c r="K106" s="53"/>
      <c r="L106" s="53">
        <f t="shared" si="4"/>
        <v>0</v>
      </c>
      <c r="M106" s="57" t="s">
        <v>369</v>
      </c>
      <c r="AV106" s="63"/>
    </row>
    <row r="107" spans="1:48" ht="18" customHeight="1">
      <c r="A107" s="51" t="s">
        <v>272</v>
      </c>
      <c r="B107" s="56" t="s">
        <v>129</v>
      </c>
      <c r="C107" s="51">
        <v>5.85</v>
      </c>
      <c r="D107" s="56" t="s">
        <v>118</v>
      </c>
      <c r="E107" s="53">
        <f t="shared" si="0"/>
        <v>197450</v>
      </c>
      <c r="F107" s="53">
        <f t="shared" si="1"/>
        <v>1155082</v>
      </c>
      <c r="G107" s="53"/>
      <c r="H107" s="53">
        <f t="shared" si="2"/>
        <v>0</v>
      </c>
      <c r="I107" s="53">
        <f>노임단가!D10</f>
        <v>197450</v>
      </c>
      <c r="J107" s="53">
        <f t="shared" si="3"/>
        <v>1155082</v>
      </c>
      <c r="K107" s="53"/>
      <c r="L107" s="53">
        <f t="shared" si="4"/>
        <v>0</v>
      </c>
      <c r="M107" s="57" t="s">
        <v>369</v>
      </c>
      <c r="AV107" s="63"/>
    </row>
    <row r="108" spans="1:48" ht="18" customHeight="1">
      <c r="A108" s="51" t="s">
        <v>273</v>
      </c>
      <c r="B108" s="56" t="s">
        <v>129</v>
      </c>
      <c r="C108" s="51">
        <v>2.93</v>
      </c>
      <c r="D108" s="56" t="s">
        <v>118</v>
      </c>
      <c r="E108" s="53">
        <f t="shared" si="0"/>
        <v>157068</v>
      </c>
      <c r="F108" s="53">
        <f t="shared" si="1"/>
        <v>460209</v>
      </c>
      <c r="G108" s="53"/>
      <c r="H108" s="53">
        <f t="shared" si="2"/>
        <v>0</v>
      </c>
      <c r="I108" s="53">
        <f>노임단가!D11</f>
        <v>157068</v>
      </c>
      <c r="J108" s="53">
        <f t="shared" si="3"/>
        <v>460209</v>
      </c>
      <c r="K108" s="53"/>
      <c r="L108" s="53">
        <f t="shared" si="4"/>
        <v>0</v>
      </c>
      <c r="M108" s="57" t="s">
        <v>369</v>
      </c>
      <c r="AV108" s="63"/>
    </row>
    <row r="109" spans="1:48" ht="18" customHeight="1">
      <c r="A109" s="51" t="s">
        <v>282</v>
      </c>
      <c r="B109" s="56"/>
      <c r="C109" s="58" t="s">
        <v>194</v>
      </c>
      <c r="D109" s="56" t="s">
        <v>209</v>
      </c>
      <c r="E109" s="53">
        <f t="shared" si="0"/>
        <v>252069</v>
      </c>
      <c r="F109" s="53">
        <f t="shared" si="1"/>
        <v>252069</v>
      </c>
      <c r="G109" s="53"/>
      <c r="H109" s="53">
        <f t="shared" si="2"/>
        <v>0</v>
      </c>
      <c r="I109" s="53"/>
      <c r="J109" s="53">
        <f t="shared" si="3"/>
        <v>0</v>
      </c>
      <c r="K109" s="53">
        <f>TRUNC((J105+J106+J107+J108)*4%,0)</f>
        <v>252069</v>
      </c>
      <c r="L109" s="53">
        <f t="shared" si="4"/>
        <v>252069</v>
      </c>
      <c r="M109" s="57"/>
      <c r="AV109" s="63"/>
    </row>
    <row r="110" spans="1:48" ht="18" customHeight="1">
      <c r="A110" s="51" t="s">
        <v>281</v>
      </c>
      <c r="B110" s="56"/>
      <c r="C110" s="58" t="s">
        <v>194</v>
      </c>
      <c r="D110" s="56" t="s">
        <v>209</v>
      </c>
      <c r="E110" s="53">
        <f t="shared" si="0"/>
        <v>126034</v>
      </c>
      <c r="F110" s="53">
        <f t="shared" si="1"/>
        <v>126034</v>
      </c>
      <c r="G110" s="53">
        <f>TRUNC((J105+J106+J107+J108)*2%,0)</f>
        <v>126034</v>
      </c>
      <c r="H110" s="53">
        <f t="shared" si="2"/>
        <v>126034</v>
      </c>
      <c r="I110" s="53"/>
      <c r="J110" s="53">
        <f t="shared" si="3"/>
        <v>0</v>
      </c>
      <c r="K110" s="53"/>
      <c r="L110" s="53">
        <f t="shared" si="4"/>
        <v>0</v>
      </c>
      <c r="M110" s="57"/>
      <c r="AV110" s="63"/>
    </row>
    <row r="111" spans="1:48" ht="18" customHeight="1">
      <c r="A111" s="51"/>
      <c r="B111" s="56"/>
      <c r="C111" s="51"/>
      <c r="D111" s="56"/>
      <c r="E111" s="53"/>
      <c r="F111" s="53"/>
      <c r="G111" s="53"/>
      <c r="H111" s="53"/>
      <c r="I111" s="53"/>
      <c r="J111" s="53"/>
      <c r="K111" s="53"/>
      <c r="L111" s="53"/>
      <c r="M111" s="57"/>
      <c r="AV111" s="63"/>
    </row>
    <row r="112" spans="1:48" ht="18" customHeight="1">
      <c r="A112" s="51" t="s">
        <v>404</v>
      </c>
      <c r="B112" s="56" t="s">
        <v>324</v>
      </c>
      <c r="C112" s="51">
        <v>1</v>
      </c>
      <c r="D112" s="56" t="s">
        <v>56</v>
      </c>
      <c r="E112" s="53"/>
      <c r="F112" s="53">
        <f aca="true" t="shared" si="5" ref="F112:F117">H112+J112+L112</f>
        <v>77948</v>
      </c>
      <c r="G112" s="53"/>
      <c r="H112" s="53">
        <f>SUM(H113:H117)</f>
        <v>16235</v>
      </c>
      <c r="I112" s="53"/>
      <c r="J112" s="53">
        <f>SUM(J113:J117)</f>
        <v>60603</v>
      </c>
      <c r="K112" s="53"/>
      <c r="L112" s="53">
        <f>SUM(L113:L117)</f>
        <v>1110</v>
      </c>
      <c r="M112" s="57"/>
      <c r="AV112" s="63"/>
    </row>
    <row r="113" spans="1:48" ht="18" customHeight="1">
      <c r="A113" s="51" t="s">
        <v>275</v>
      </c>
      <c r="B113" s="83" t="s">
        <v>276</v>
      </c>
      <c r="C113" s="51">
        <v>149</v>
      </c>
      <c r="D113" s="56" t="s">
        <v>203</v>
      </c>
      <c r="E113" s="53">
        <f>G113+I113+K113</f>
        <v>75</v>
      </c>
      <c r="F113" s="53">
        <f t="shared" si="5"/>
        <v>11175</v>
      </c>
      <c r="G113" s="53">
        <v>75</v>
      </c>
      <c r="H113" s="53">
        <f>TRUNC(G113*C113,0)</f>
        <v>11175</v>
      </c>
      <c r="I113" s="53"/>
      <c r="J113" s="53">
        <f>TRUNC(I113*C113,0)</f>
        <v>0</v>
      </c>
      <c r="K113" s="53"/>
      <c r="L113" s="53">
        <f>TRUNC(K113*C113,0)</f>
        <v>0</v>
      </c>
      <c r="M113" s="57" t="s">
        <v>354</v>
      </c>
      <c r="AV113" s="63"/>
    </row>
    <row r="114" spans="1:48" ht="18" customHeight="1">
      <c r="A114" s="51" t="s">
        <v>325</v>
      </c>
      <c r="B114" s="56"/>
      <c r="C114" s="51">
        <v>0.049</v>
      </c>
      <c r="D114" s="56" t="s">
        <v>127</v>
      </c>
      <c r="E114" s="53">
        <f>G114+I114+K114</f>
        <v>206944</v>
      </c>
      <c r="F114" s="53">
        <f t="shared" si="5"/>
        <v>10139</v>
      </c>
      <c r="G114" s="53">
        <f>일위대가목록!F30</f>
        <v>103280</v>
      </c>
      <c r="H114" s="53">
        <f>TRUNC(G114*C114,0)</f>
        <v>5060</v>
      </c>
      <c r="I114" s="53">
        <f>일위대가목록!G30</f>
        <v>103664</v>
      </c>
      <c r="J114" s="53">
        <f>TRUNC(I114*C114,0)</f>
        <v>5079</v>
      </c>
      <c r="K114" s="53">
        <f>일위대가목록!H30</f>
        <v>0</v>
      </c>
      <c r="L114" s="53">
        <f>TRUNC(K114*C114,0)</f>
        <v>0</v>
      </c>
      <c r="M114" s="57" t="s">
        <v>413</v>
      </c>
      <c r="AV114" s="63"/>
    </row>
    <row r="115" spans="1:48" ht="18" customHeight="1">
      <c r="A115" s="51" t="s">
        <v>277</v>
      </c>
      <c r="B115" s="56"/>
      <c r="C115" s="51">
        <v>0.19</v>
      </c>
      <c r="D115" s="56" t="s">
        <v>118</v>
      </c>
      <c r="E115" s="53">
        <f>G115+I115+K115</f>
        <v>242636</v>
      </c>
      <c r="F115" s="53">
        <f t="shared" si="5"/>
        <v>46100</v>
      </c>
      <c r="G115" s="53"/>
      <c r="H115" s="53">
        <f>TRUNC(G115*C115,0)</f>
        <v>0</v>
      </c>
      <c r="I115" s="53">
        <f>노임단가!D5</f>
        <v>242636</v>
      </c>
      <c r="J115" s="53">
        <f>TRUNC(I115*C115,0)</f>
        <v>46100</v>
      </c>
      <c r="K115" s="53"/>
      <c r="L115" s="53">
        <f>TRUNC(K115*C115,0)</f>
        <v>0</v>
      </c>
      <c r="M115" s="57" t="s">
        <v>369</v>
      </c>
      <c r="AV115" s="63"/>
    </row>
    <row r="116" spans="1:48" ht="18" customHeight="1">
      <c r="A116" s="51" t="s">
        <v>7</v>
      </c>
      <c r="B116" s="56"/>
      <c r="C116" s="51">
        <v>0.06</v>
      </c>
      <c r="D116" s="56" t="s">
        <v>118</v>
      </c>
      <c r="E116" s="53">
        <f>G116+I116+K116</f>
        <v>157068</v>
      </c>
      <c r="F116" s="53">
        <f t="shared" si="5"/>
        <v>9424</v>
      </c>
      <c r="G116" s="53"/>
      <c r="H116" s="53">
        <f>TRUNC(G116*C116,0)</f>
        <v>0</v>
      </c>
      <c r="I116" s="53">
        <f>노임단가!D11</f>
        <v>157068</v>
      </c>
      <c r="J116" s="53">
        <f>TRUNC(I116*C116,0)</f>
        <v>9424</v>
      </c>
      <c r="K116" s="53"/>
      <c r="L116" s="53">
        <f>TRUNC(K116*C116,0)</f>
        <v>0</v>
      </c>
      <c r="M116" s="57" t="s">
        <v>369</v>
      </c>
      <c r="AV116" s="63"/>
    </row>
    <row r="117" spans="1:48" ht="18" customHeight="1">
      <c r="A117" s="51" t="s">
        <v>280</v>
      </c>
      <c r="B117" s="56"/>
      <c r="C117" s="51">
        <v>1</v>
      </c>
      <c r="D117" s="56" t="s">
        <v>100</v>
      </c>
      <c r="E117" s="53">
        <f>G117+I117+K117</f>
        <v>1110</v>
      </c>
      <c r="F117" s="53">
        <f t="shared" si="5"/>
        <v>1110</v>
      </c>
      <c r="G117" s="53"/>
      <c r="H117" s="53">
        <f>TRUNC(G117*C117,0)</f>
        <v>0</v>
      </c>
      <c r="I117" s="53"/>
      <c r="J117" s="53">
        <f>TRUNC(I117*C117,0)</f>
        <v>0</v>
      </c>
      <c r="K117" s="53">
        <f>TRUNC((J115+J116)*2%,0)</f>
        <v>1110</v>
      </c>
      <c r="L117" s="53">
        <f>TRUNC(K117*C117,0)</f>
        <v>1110</v>
      </c>
      <c r="M117" s="57"/>
      <c r="AV117" s="63"/>
    </row>
    <row r="118" spans="1:48" ht="18" customHeight="1">
      <c r="A118" s="51"/>
      <c r="B118" s="56"/>
      <c r="C118" s="51"/>
      <c r="D118" s="56"/>
      <c r="E118" s="53"/>
      <c r="F118" s="53"/>
      <c r="G118" s="53"/>
      <c r="H118" s="53"/>
      <c r="I118" s="53"/>
      <c r="J118" s="53"/>
      <c r="K118" s="53"/>
      <c r="L118" s="53"/>
      <c r="M118" s="57"/>
      <c r="AV118" s="63"/>
    </row>
    <row r="119" spans="1:48" ht="18" customHeight="1">
      <c r="A119" s="51" t="s">
        <v>405</v>
      </c>
      <c r="B119" s="56" t="s">
        <v>297</v>
      </c>
      <c r="C119" s="51">
        <v>1</v>
      </c>
      <c r="D119" s="56" t="s">
        <v>56</v>
      </c>
      <c r="E119" s="53"/>
      <c r="F119" s="53">
        <f>H119+J119+L119</f>
        <v>89684</v>
      </c>
      <c r="G119" s="53"/>
      <c r="H119" s="53">
        <f>SUM(H120:H128)</f>
        <v>25834</v>
      </c>
      <c r="I119" s="53"/>
      <c r="J119" s="53">
        <f>SUM(J120:J128)</f>
        <v>62700</v>
      </c>
      <c r="K119" s="53"/>
      <c r="L119" s="53">
        <f>SUM(L120:L128)</f>
        <v>1150</v>
      </c>
      <c r="M119" s="57"/>
      <c r="AV119" s="63"/>
    </row>
    <row r="120" spans="1:48" ht="18" customHeight="1">
      <c r="A120" s="51" t="s">
        <v>292</v>
      </c>
      <c r="B120" s="56" t="s">
        <v>293</v>
      </c>
      <c r="C120" s="51">
        <v>77.25</v>
      </c>
      <c r="D120" s="56" t="s">
        <v>203</v>
      </c>
      <c r="E120" s="53">
        <f aca="true" t="shared" si="6" ref="E120:E128">G120+I120+K120</f>
        <v>270</v>
      </c>
      <c r="F120" s="53">
        <f aca="true" t="shared" si="7" ref="F120:F128">H120+J120+L120</f>
        <v>20857</v>
      </c>
      <c r="G120" s="53">
        <v>270</v>
      </c>
      <c r="H120" s="53">
        <f aca="true" t="shared" si="8" ref="H120:H128">TRUNC(G120*C120,0)</f>
        <v>20857</v>
      </c>
      <c r="I120" s="53"/>
      <c r="J120" s="53">
        <f aca="true" t="shared" si="9" ref="J120:J128">TRUNC(I120*C120,0)</f>
        <v>0</v>
      </c>
      <c r="K120" s="53"/>
      <c r="L120" s="53">
        <f aca="true" t="shared" si="10" ref="L120:L128">TRUNC(K120*C120,0)</f>
        <v>0</v>
      </c>
      <c r="M120" s="57" t="s">
        <v>354</v>
      </c>
      <c r="AV120" s="63"/>
    </row>
    <row r="121" spans="1:48" ht="18" customHeight="1">
      <c r="A121" s="51" t="s">
        <v>283</v>
      </c>
      <c r="B121" s="56" t="s">
        <v>284</v>
      </c>
      <c r="C121" s="51">
        <v>36.5625</v>
      </c>
      <c r="D121" s="56" t="s">
        <v>285</v>
      </c>
      <c r="E121" s="53">
        <f t="shared" si="6"/>
        <v>135</v>
      </c>
      <c r="F121" s="53">
        <f t="shared" si="7"/>
        <v>4935</v>
      </c>
      <c r="G121" s="53">
        <v>135</v>
      </c>
      <c r="H121" s="53">
        <f t="shared" si="8"/>
        <v>4935</v>
      </c>
      <c r="I121" s="53"/>
      <c r="J121" s="53">
        <f t="shared" si="9"/>
        <v>0</v>
      </c>
      <c r="K121" s="53"/>
      <c r="L121" s="53">
        <f t="shared" si="10"/>
        <v>0</v>
      </c>
      <c r="M121" s="57" t="s">
        <v>354</v>
      </c>
      <c r="AV121" s="63"/>
    </row>
    <row r="122" spans="1:48" ht="18" customHeight="1">
      <c r="A122" s="51" t="s">
        <v>283</v>
      </c>
      <c r="B122" s="56" t="s">
        <v>286</v>
      </c>
      <c r="C122" s="51">
        <v>0.045</v>
      </c>
      <c r="D122" s="56" t="s">
        <v>285</v>
      </c>
      <c r="E122" s="53">
        <f t="shared" si="6"/>
        <v>170</v>
      </c>
      <c r="F122" s="53">
        <f t="shared" si="7"/>
        <v>7</v>
      </c>
      <c r="G122" s="53">
        <v>170</v>
      </c>
      <c r="H122" s="53">
        <f t="shared" si="8"/>
        <v>7</v>
      </c>
      <c r="I122" s="53"/>
      <c r="J122" s="53">
        <f t="shared" si="9"/>
        <v>0</v>
      </c>
      <c r="K122" s="53"/>
      <c r="L122" s="53">
        <f t="shared" si="10"/>
        <v>0</v>
      </c>
      <c r="M122" s="57" t="s">
        <v>354</v>
      </c>
      <c r="AV122" s="63"/>
    </row>
    <row r="123" spans="1:48" ht="18" customHeight="1">
      <c r="A123" s="51" t="s">
        <v>287</v>
      </c>
      <c r="B123" s="56" t="s">
        <v>288</v>
      </c>
      <c r="C123" s="51">
        <v>0.026</v>
      </c>
      <c r="D123" s="56" t="s">
        <v>285</v>
      </c>
      <c r="E123" s="53">
        <f t="shared" si="6"/>
        <v>1350</v>
      </c>
      <c r="F123" s="53">
        <f t="shared" si="7"/>
        <v>35</v>
      </c>
      <c r="G123" s="53">
        <v>1350</v>
      </c>
      <c r="H123" s="53">
        <f t="shared" si="8"/>
        <v>35</v>
      </c>
      <c r="I123" s="53"/>
      <c r="J123" s="53">
        <f t="shared" si="9"/>
        <v>0</v>
      </c>
      <c r="K123" s="53"/>
      <c r="L123" s="53">
        <f t="shared" si="10"/>
        <v>0</v>
      </c>
      <c r="M123" s="57" t="s">
        <v>354</v>
      </c>
      <c r="AV123" s="63"/>
    </row>
    <row r="124" spans="1:48" ht="18" customHeight="1">
      <c r="A124" s="51" t="s">
        <v>277</v>
      </c>
      <c r="B124" s="56"/>
      <c r="C124" s="51">
        <v>0.16</v>
      </c>
      <c r="D124" s="56" t="s">
        <v>118</v>
      </c>
      <c r="E124" s="53">
        <f t="shared" si="6"/>
        <v>242636</v>
      </c>
      <c r="F124" s="53">
        <f t="shared" si="7"/>
        <v>38821</v>
      </c>
      <c r="G124" s="53"/>
      <c r="H124" s="53">
        <f t="shared" si="8"/>
        <v>0</v>
      </c>
      <c r="I124" s="53">
        <f>노임단가!D5</f>
        <v>242636</v>
      </c>
      <c r="J124" s="53">
        <f t="shared" si="9"/>
        <v>38821</v>
      </c>
      <c r="K124" s="53"/>
      <c r="L124" s="53">
        <f t="shared" si="10"/>
        <v>0</v>
      </c>
      <c r="M124" s="57" t="s">
        <v>369</v>
      </c>
      <c r="AV124" s="63"/>
    </row>
    <row r="125" spans="1:48" ht="18" customHeight="1">
      <c r="A125" s="51" t="s">
        <v>7</v>
      </c>
      <c r="B125" s="56"/>
      <c r="C125" s="51">
        <v>0.06</v>
      </c>
      <c r="D125" s="56" t="s">
        <v>118</v>
      </c>
      <c r="E125" s="53">
        <f t="shared" si="6"/>
        <v>157068</v>
      </c>
      <c r="F125" s="53">
        <f t="shared" si="7"/>
        <v>9424</v>
      </c>
      <c r="G125" s="53"/>
      <c r="H125" s="53">
        <f t="shared" si="8"/>
        <v>0</v>
      </c>
      <c r="I125" s="53">
        <f>노임단가!D11</f>
        <v>157068</v>
      </c>
      <c r="J125" s="53">
        <f t="shared" si="9"/>
        <v>9424</v>
      </c>
      <c r="K125" s="53"/>
      <c r="L125" s="53">
        <f t="shared" si="10"/>
        <v>0</v>
      </c>
      <c r="M125" s="57" t="s">
        <v>369</v>
      </c>
      <c r="AV125" s="63"/>
    </row>
    <row r="126" spans="1:48" ht="18" customHeight="1">
      <c r="A126" s="51" t="s">
        <v>289</v>
      </c>
      <c r="B126" s="56"/>
      <c r="C126" s="51">
        <v>0.05</v>
      </c>
      <c r="D126" s="56" t="s">
        <v>118</v>
      </c>
      <c r="E126" s="53">
        <f t="shared" si="6"/>
        <v>185459</v>
      </c>
      <c r="F126" s="53">
        <f t="shared" si="7"/>
        <v>9272</v>
      </c>
      <c r="G126" s="53"/>
      <c r="H126" s="53">
        <f t="shared" si="8"/>
        <v>0</v>
      </c>
      <c r="I126" s="53">
        <f>노임단가!D6</f>
        <v>185459</v>
      </c>
      <c r="J126" s="53">
        <f t="shared" si="9"/>
        <v>9272</v>
      </c>
      <c r="K126" s="53"/>
      <c r="L126" s="53">
        <f t="shared" si="10"/>
        <v>0</v>
      </c>
      <c r="M126" s="57" t="s">
        <v>369</v>
      </c>
      <c r="AV126" s="63"/>
    </row>
    <row r="127" spans="1:48" ht="18" customHeight="1">
      <c r="A127" s="51" t="s">
        <v>278</v>
      </c>
      <c r="B127" s="56"/>
      <c r="C127" s="51">
        <v>1</v>
      </c>
      <c r="D127" s="56" t="s">
        <v>100</v>
      </c>
      <c r="E127" s="53">
        <f t="shared" si="6"/>
        <v>1150</v>
      </c>
      <c r="F127" s="53">
        <f t="shared" si="7"/>
        <v>1150</v>
      </c>
      <c r="G127" s="53"/>
      <c r="H127" s="53">
        <f t="shared" si="8"/>
        <v>0</v>
      </c>
      <c r="I127" s="53"/>
      <c r="J127" s="53">
        <f t="shared" si="9"/>
        <v>0</v>
      </c>
      <c r="K127" s="53">
        <f>TRUNC((J124+J125+J126)*2%,0)</f>
        <v>1150</v>
      </c>
      <c r="L127" s="53">
        <f t="shared" si="10"/>
        <v>1150</v>
      </c>
      <c r="M127" s="57"/>
      <c r="AV127" s="63"/>
    </row>
    <row r="128" spans="1:48" ht="18" customHeight="1">
      <c r="A128" s="51" t="s">
        <v>7</v>
      </c>
      <c r="B128" s="56"/>
      <c r="C128" s="51">
        <v>0.033</v>
      </c>
      <c r="D128" s="56" t="s">
        <v>118</v>
      </c>
      <c r="E128" s="53">
        <f t="shared" si="6"/>
        <v>157068</v>
      </c>
      <c r="F128" s="53">
        <f t="shared" si="7"/>
        <v>5183</v>
      </c>
      <c r="G128" s="53"/>
      <c r="H128" s="53">
        <f t="shared" si="8"/>
        <v>0</v>
      </c>
      <c r="I128" s="53">
        <f>노임단가!D11</f>
        <v>157068</v>
      </c>
      <c r="J128" s="53">
        <f t="shared" si="9"/>
        <v>5183</v>
      </c>
      <c r="K128" s="53"/>
      <c r="L128" s="53">
        <f t="shared" si="10"/>
        <v>0</v>
      </c>
      <c r="M128" s="57" t="s">
        <v>369</v>
      </c>
      <c r="AV128" s="63"/>
    </row>
    <row r="129" spans="1:48" ht="18" customHeight="1">
      <c r="A129" s="51"/>
      <c r="B129" s="56"/>
      <c r="C129" s="51"/>
      <c r="D129" s="56"/>
      <c r="E129" s="53"/>
      <c r="F129" s="53"/>
      <c r="G129" s="53"/>
      <c r="H129" s="53"/>
      <c r="I129" s="53"/>
      <c r="J129" s="53"/>
      <c r="K129" s="53"/>
      <c r="L129" s="53"/>
      <c r="M129" s="57"/>
      <c r="AV129" s="63"/>
    </row>
    <row r="130" spans="1:48" ht="18" customHeight="1">
      <c r="A130" s="51" t="s">
        <v>406</v>
      </c>
      <c r="B130" s="56"/>
      <c r="C130" s="51">
        <v>1</v>
      </c>
      <c r="D130" s="56" t="s">
        <v>56</v>
      </c>
      <c r="E130" s="53"/>
      <c r="F130" s="53">
        <f aca="true" t="shared" si="11" ref="F130:F135">H130+J130+L130</f>
        <v>84921</v>
      </c>
      <c r="G130" s="53"/>
      <c r="H130" s="53">
        <f>SUM(H131:H135)</f>
        <v>25400</v>
      </c>
      <c r="I130" s="53"/>
      <c r="J130" s="53">
        <f>SUM(J131:J135)</f>
        <v>59521</v>
      </c>
      <c r="K130" s="53"/>
      <c r="L130" s="53">
        <f>SUM(L131:L135)</f>
        <v>0</v>
      </c>
      <c r="M130" s="57"/>
      <c r="AV130" s="63"/>
    </row>
    <row r="131" spans="1:48" ht="18" customHeight="1">
      <c r="A131" s="51" t="s">
        <v>292</v>
      </c>
      <c r="B131" s="56" t="s">
        <v>293</v>
      </c>
      <c r="C131" s="51">
        <v>78.4</v>
      </c>
      <c r="D131" s="56" t="s">
        <v>203</v>
      </c>
      <c r="E131" s="53">
        <f>G131+I131+K131</f>
        <v>270</v>
      </c>
      <c r="F131" s="53">
        <f t="shared" si="11"/>
        <v>21168</v>
      </c>
      <c r="G131" s="53">
        <v>270</v>
      </c>
      <c r="H131" s="53">
        <f>TRUNC(G131*C131,0)</f>
        <v>21168</v>
      </c>
      <c r="I131" s="53"/>
      <c r="J131" s="53">
        <f>TRUNC(I131*C131,0)</f>
        <v>0</v>
      </c>
      <c r="K131" s="53"/>
      <c r="L131" s="53">
        <f>TRUNC(K131*C131,0)</f>
        <v>0</v>
      </c>
      <c r="M131" s="57" t="s">
        <v>354</v>
      </c>
      <c r="AV131" s="63"/>
    </row>
    <row r="132" spans="1:48" ht="18" customHeight="1">
      <c r="A132" s="51" t="s">
        <v>294</v>
      </c>
      <c r="B132" s="56" t="s">
        <v>295</v>
      </c>
      <c r="C132" s="51">
        <v>20.91</v>
      </c>
      <c r="D132" s="56" t="s">
        <v>285</v>
      </c>
      <c r="E132" s="53">
        <f>G132+I132+K132</f>
        <v>168</v>
      </c>
      <c r="F132" s="53">
        <f t="shared" si="11"/>
        <v>3512</v>
      </c>
      <c r="G132" s="53">
        <v>168</v>
      </c>
      <c r="H132" s="53">
        <f>TRUNC(G132*C132,0)</f>
        <v>3512</v>
      </c>
      <c r="I132" s="53"/>
      <c r="J132" s="53">
        <f>TRUNC(I132*C132,0)</f>
        <v>0</v>
      </c>
      <c r="K132" s="53"/>
      <c r="L132" s="53">
        <f>TRUNC(K132*C132,0)</f>
        <v>0</v>
      </c>
      <c r="M132" s="57" t="s">
        <v>354</v>
      </c>
      <c r="AV132" s="63"/>
    </row>
    <row r="133" spans="1:48" ht="18" customHeight="1">
      <c r="A133" s="51" t="s">
        <v>291</v>
      </c>
      <c r="B133" s="56" t="s">
        <v>296</v>
      </c>
      <c r="C133" s="51">
        <v>0.045</v>
      </c>
      <c r="D133" s="56" t="s">
        <v>127</v>
      </c>
      <c r="E133" s="53">
        <f>G133+I133+K133</f>
        <v>16000</v>
      </c>
      <c r="F133" s="53">
        <f t="shared" si="11"/>
        <v>720</v>
      </c>
      <c r="G133" s="53">
        <v>16000</v>
      </c>
      <c r="H133" s="53">
        <f>TRUNC(G133*C133,0)</f>
        <v>720</v>
      </c>
      <c r="I133" s="53"/>
      <c r="J133" s="53">
        <f>TRUNC(I133*C133,0)</f>
        <v>0</v>
      </c>
      <c r="K133" s="53"/>
      <c r="L133" s="53">
        <f>TRUNC(K133*C133,0)</f>
        <v>0</v>
      </c>
      <c r="M133" s="57" t="s">
        <v>354</v>
      </c>
      <c r="AV133" s="63"/>
    </row>
    <row r="134" spans="1:48" ht="18" customHeight="1">
      <c r="A134" s="51" t="s">
        <v>277</v>
      </c>
      <c r="B134" s="56"/>
      <c r="C134" s="51">
        <v>0.2</v>
      </c>
      <c r="D134" s="56" t="s">
        <v>118</v>
      </c>
      <c r="E134" s="53">
        <f>G134+I134+K134</f>
        <v>242636</v>
      </c>
      <c r="F134" s="53">
        <f t="shared" si="11"/>
        <v>48527</v>
      </c>
      <c r="G134" s="53"/>
      <c r="H134" s="53">
        <f>TRUNC(G134*C134,0)</f>
        <v>0</v>
      </c>
      <c r="I134" s="53">
        <f>노임단가!D5</f>
        <v>242636</v>
      </c>
      <c r="J134" s="53">
        <f>TRUNC(I134*C134,0)</f>
        <v>48527</v>
      </c>
      <c r="K134" s="53"/>
      <c r="L134" s="53">
        <f>TRUNC(K134*C134,0)</f>
        <v>0</v>
      </c>
      <c r="M134" s="57" t="s">
        <v>369</v>
      </c>
      <c r="AV134" s="63"/>
    </row>
    <row r="135" spans="1:48" ht="18" customHeight="1">
      <c r="A135" s="51" t="s">
        <v>7</v>
      </c>
      <c r="B135" s="56"/>
      <c r="C135" s="51">
        <v>0.07</v>
      </c>
      <c r="D135" s="56" t="s">
        <v>118</v>
      </c>
      <c r="E135" s="53">
        <f>G135+I135+K135</f>
        <v>157068</v>
      </c>
      <c r="F135" s="53">
        <f t="shared" si="11"/>
        <v>10994</v>
      </c>
      <c r="G135" s="53"/>
      <c r="H135" s="53">
        <f>TRUNC(G135*C135,0)</f>
        <v>0</v>
      </c>
      <c r="I135" s="53">
        <f>노임단가!D11</f>
        <v>157068</v>
      </c>
      <c r="J135" s="53">
        <f>TRUNC(I135*C135,0)</f>
        <v>10994</v>
      </c>
      <c r="K135" s="53"/>
      <c r="L135" s="53">
        <f>TRUNC(K135*C135,0)</f>
        <v>0</v>
      </c>
      <c r="M135" s="57" t="s">
        <v>369</v>
      </c>
      <c r="AV135" s="63"/>
    </row>
    <row r="136" spans="1:48" ht="18" customHeight="1">
      <c r="A136" s="51"/>
      <c r="B136" s="56"/>
      <c r="C136" s="51"/>
      <c r="D136" s="56"/>
      <c r="E136" s="53"/>
      <c r="F136" s="53"/>
      <c r="G136" s="53"/>
      <c r="H136" s="53"/>
      <c r="I136" s="53"/>
      <c r="J136" s="53"/>
      <c r="K136" s="53"/>
      <c r="L136" s="53"/>
      <c r="M136" s="57"/>
      <c r="AV136" s="63"/>
    </row>
    <row r="137" spans="1:48" ht="18" customHeight="1">
      <c r="A137" s="51" t="s">
        <v>407</v>
      </c>
      <c r="B137" s="56"/>
      <c r="C137" s="51">
        <v>1</v>
      </c>
      <c r="D137" s="56" t="s">
        <v>56</v>
      </c>
      <c r="E137" s="53"/>
      <c r="F137" s="53">
        <f aca="true" t="shared" si="12" ref="F137:F143">H137+J137+L137</f>
        <v>40505</v>
      </c>
      <c r="G137" s="53"/>
      <c r="H137" s="53">
        <f>SUM(H138:H143)</f>
        <v>5062</v>
      </c>
      <c r="I137" s="53"/>
      <c r="J137" s="53">
        <f>SUM(J138:J143)</f>
        <v>35443</v>
      </c>
      <c r="K137" s="53"/>
      <c r="L137" s="53">
        <f>SUM(L138:L143)</f>
        <v>0</v>
      </c>
      <c r="M137" s="57"/>
      <c r="AV137" s="63"/>
    </row>
    <row r="138" spans="1:48" ht="18" customHeight="1">
      <c r="A138" s="51" t="s">
        <v>294</v>
      </c>
      <c r="B138" s="56" t="s">
        <v>295</v>
      </c>
      <c r="C138" s="51">
        <v>13.05</v>
      </c>
      <c r="D138" s="56" t="s">
        <v>285</v>
      </c>
      <c r="E138" s="53">
        <f aca="true" t="shared" si="13" ref="E138:E143">G138+I138+K138</f>
        <v>168</v>
      </c>
      <c r="F138" s="53">
        <f t="shared" si="12"/>
        <v>2192</v>
      </c>
      <c r="G138" s="53">
        <v>168</v>
      </c>
      <c r="H138" s="53">
        <f aca="true" t="shared" si="14" ref="H138:H143">TRUNC(G138*C138,0)</f>
        <v>2192</v>
      </c>
      <c r="I138" s="53"/>
      <c r="J138" s="53">
        <f aca="true" t="shared" si="15" ref="J138:J143">TRUNC(I138*C138,0)</f>
        <v>0</v>
      </c>
      <c r="K138" s="53"/>
      <c r="L138" s="53">
        <f aca="true" t="shared" si="16" ref="L138:L143">TRUNC(K138*C138,0)</f>
        <v>0</v>
      </c>
      <c r="M138" s="57" t="s">
        <v>354</v>
      </c>
      <c r="AV138" s="63"/>
    </row>
    <row r="139" spans="1:48" ht="18" customHeight="1">
      <c r="A139" s="51" t="s">
        <v>291</v>
      </c>
      <c r="B139" s="56" t="s">
        <v>296</v>
      </c>
      <c r="C139" s="51">
        <v>0.017</v>
      </c>
      <c r="D139" s="56" t="s">
        <v>127</v>
      </c>
      <c r="E139" s="53">
        <f t="shared" si="13"/>
        <v>16000</v>
      </c>
      <c r="F139" s="53">
        <f t="shared" si="12"/>
        <v>272</v>
      </c>
      <c r="G139" s="53">
        <v>16000</v>
      </c>
      <c r="H139" s="53">
        <f t="shared" si="14"/>
        <v>272</v>
      </c>
      <c r="I139" s="53"/>
      <c r="J139" s="53">
        <f t="shared" si="15"/>
        <v>0</v>
      </c>
      <c r="K139" s="53"/>
      <c r="L139" s="53">
        <f t="shared" si="16"/>
        <v>0</v>
      </c>
      <c r="M139" s="57" t="s">
        <v>354</v>
      </c>
      <c r="AV139" s="63"/>
    </row>
    <row r="140" spans="1:48" ht="18" customHeight="1">
      <c r="A140" s="51" t="s">
        <v>298</v>
      </c>
      <c r="B140" s="56" t="s">
        <v>299</v>
      </c>
      <c r="C140" s="51">
        <v>0.3</v>
      </c>
      <c r="D140" s="56" t="s">
        <v>198</v>
      </c>
      <c r="E140" s="53">
        <f t="shared" si="13"/>
        <v>3420</v>
      </c>
      <c r="F140" s="53">
        <f t="shared" si="12"/>
        <v>1026</v>
      </c>
      <c r="G140" s="53">
        <v>3420</v>
      </c>
      <c r="H140" s="53">
        <f t="shared" si="14"/>
        <v>1026</v>
      </c>
      <c r="I140" s="53"/>
      <c r="J140" s="53">
        <f t="shared" si="15"/>
        <v>0</v>
      </c>
      <c r="K140" s="53"/>
      <c r="L140" s="53">
        <f t="shared" si="16"/>
        <v>0</v>
      </c>
      <c r="M140" s="57" t="s">
        <v>354</v>
      </c>
      <c r="AV140" s="63"/>
    </row>
    <row r="141" spans="1:48" ht="18" customHeight="1">
      <c r="A141" s="51" t="s">
        <v>298</v>
      </c>
      <c r="B141" s="56" t="s">
        <v>300</v>
      </c>
      <c r="C141" s="51">
        <v>0.655</v>
      </c>
      <c r="D141" s="56" t="s">
        <v>198</v>
      </c>
      <c r="E141" s="53">
        <f t="shared" si="13"/>
        <v>2400</v>
      </c>
      <c r="F141" s="53">
        <f t="shared" si="12"/>
        <v>1572</v>
      </c>
      <c r="G141" s="53">
        <v>2400</v>
      </c>
      <c r="H141" s="53">
        <f t="shared" si="14"/>
        <v>1572</v>
      </c>
      <c r="I141" s="53"/>
      <c r="J141" s="53">
        <f t="shared" si="15"/>
        <v>0</v>
      </c>
      <c r="K141" s="53"/>
      <c r="L141" s="53">
        <f t="shared" si="16"/>
        <v>0</v>
      </c>
      <c r="M141" s="57" t="s">
        <v>354</v>
      </c>
      <c r="AV141" s="63"/>
    </row>
    <row r="142" spans="1:48" ht="18" customHeight="1">
      <c r="A142" s="51" t="s">
        <v>301</v>
      </c>
      <c r="B142" s="56"/>
      <c r="C142" s="51">
        <v>0.11</v>
      </c>
      <c r="D142" s="56" t="s">
        <v>118</v>
      </c>
      <c r="E142" s="53">
        <f t="shared" si="13"/>
        <v>199427</v>
      </c>
      <c r="F142" s="53">
        <f t="shared" si="12"/>
        <v>21936</v>
      </c>
      <c r="G142" s="53"/>
      <c r="H142" s="53">
        <f t="shared" si="14"/>
        <v>0</v>
      </c>
      <c r="I142" s="53">
        <f>노임단가!D7</f>
        <v>199427</v>
      </c>
      <c r="J142" s="53">
        <f t="shared" si="15"/>
        <v>21936</v>
      </c>
      <c r="K142" s="53"/>
      <c r="L142" s="53">
        <f t="shared" si="16"/>
        <v>0</v>
      </c>
      <c r="M142" s="57" t="s">
        <v>369</v>
      </c>
      <c r="AV142" s="63"/>
    </row>
    <row r="143" spans="1:48" ht="18" customHeight="1">
      <c r="A143" s="51" t="s">
        <v>7</v>
      </c>
      <c r="B143" s="56"/>
      <c r="C143" s="51">
        <v>0.086</v>
      </c>
      <c r="D143" s="56" t="s">
        <v>118</v>
      </c>
      <c r="E143" s="53">
        <f t="shared" si="13"/>
        <v>157068</v>
      </c>
      <c r="F143" s="53">
        <f t="shared" si="12"/>
        <v>13507</v>
      </c>
      <c r="G143" s="53"/>
      <c r="H143" s="53">
        <f t="shared" si="14"/>
        <v>0</v>
      </c>
      <c r="I143" s="53">
        <f>노임단가!D11</f>
        <v>157068</v>
      </c>
      <c r="J143" s="53">
        <f t="shared" si="15"/>
        <v>13507</v>
      </c>
      <c r="K143" s="53"/>
      <c r="L143" s="53">
        <f t="shared" si="16"/>
        <v>0</v>
      </c>
      <c r="M143" s="57" t="s">
        <v>369</v>
      </c>
      <c r="AV143" s="63"/>
    </row>
    <row r="144" spans="1:48" ht="18" customHeight="1">
      <c r="A144" s="51"/>
      <c r="B144" s="56"/>
      <c r="C144" s="51"/>
      <c r="D144" s="56"/>
      <c r="E144" s="53"/>
      <c r="F144" s="53"/>
      <c r="G144" s="53"/>
      <c r="H144" s="53"/>
      <c r="I144" s="53"/>
      <c r="J144" s="53"/>
      <c r="K144" s="53"/>
      <c r="L144" s="53"/>
      <c r="M144" s="57"/>
      <c r="AV144" s="63"/>
    </row>
    <row r="145" spans="1:48" ht="18" customHeight="1">
      <c r="A145" s="51" t="s">
        <v>408</v>
      </c>
      <c r="B145" s="56"/>
      <c r="C145" s="51">
        <v>1</v>
      </c>
      <c r="D145" s="56" t="s">
        <v>191</v>
      </c>
      <c r="E145" s="53"/>
      <c r="F145" s="53">
        <f>H145+J145+L145</f>
        <v>206944</v>
      </c>
      <c r="G145" s="53"/>
      <c r="H145" s="53">
        <f>SUM(H146:H148)</f>
        <v>103280</v>
      </c>
      <c r="I145" s="53"/>
      <c r="J145" s="53">
        <f>SUM(J146:J148)</f>
        <v>103664</v>
      </c>
      <c r="K145" s="53"/>
      <c r="L145" s="53">
        <f>SUM(L146:L148)</f>
        <v>0</v>
      </c>
      <c r="M145" s="57"/>
      <c r="AV145" s="63"/>
    </row>
    <row r="146" spans="1:48" ht="18" customHeight="1">
      <c r="A146" s="51" t="s">
        <v>294</v>
      </c>
      <c r="B146" s="56" t="s">
        <v>295</v>
      </c>
      <c r="C146" s="51">
        <v>510</v>
      </c>
      <c r="D146" s="56" t="s">
        <v>285</v>
      </c>
      <c r="E146" s="53">
        <f>G146+I146+K146</f>
        <v>168</v>
      </c>
      <c r="F146" s="53">
        <f>H146+J146+L146</f>
        <v>85680</v>
      </c>
      <c r="G146" s="53">
        <v>168</v>
      </c>
      <c r="H146" s="53">
        <f>TRUNC(G146*C146,0)</f>
        <v>85680</v>
      </c>
      <c r="I146" s="53"/>
      <c r="J146" s="53">
        <f>TRUNC(I146*C146,0)</f>
        <v>0</v>
      </c>
      <c r="K146" s="53"/>
      <c r="L146" s="53">
        <f>TRUNC(K146*C146,0)</f>
        <v>0</v>
      </c>
      <c r="M146" s="57" t="s">
        <v>354</v>
      </c>
      <c r="AV146" s="63"/>
    </row>
    <row r="147" spans="1:48" ht="18" customHeight="1">
      <c r="A147" s="51" t="s">
        <v>291</v>
      </c>
      <c r="B147" s="56" t="s">
        <v>296</v>
      </c>
      <c r="C147" s="51">
        <v>1.1</v>
      </c>
      <c r="D147" s="56" t="s">
        <v>127</v>
      </c>
      <c r="E147" s="53">
        <f>G147+I147+K147</f>
        <v>16000</v>
      </c>
      <c r="F147" s="53">
        <f>H147+J147+L147</f>
        <v>17600</v>
      </c>
      <c r="G147" s="53">
        <v>16000</v>
      </c>
      <c r="H147" s="53">
        <f>TRUNC(G147*C147,0)</f>
        <v>17600</v>
      </c>
      <c r="I147" s="53"/>
      <c r="J147" s="53">
        <f>TRUNC(I147*C147,0)</f>
        <v>0</v>
      </c>
      <c r="K147" s="53"/>
      <c r="L147" s="53">
        <f>TRUNC(K147*C147,0)</f>
        <v>0</v>
      </c>
      <c r="M147" s="57" t="s">
        <v>354</v>
      </c>
      <c r="AV147" s="63"/>
    </row>
    <row r="148" spans="1:48" ht="18" customHeight="1">
      <c r="A148" s="51" t="s">
        <v>7</v>
      </c>
      <c r="B148" s="56"/>
      <c r="C148" s="51">
        <v>0.66</v>
      </c>
      <c r="D148" s="56" t="s">
        <v>118</v>
      </c>
      <c r="E148" s="53">
        <f>G148+I148+K148</f>
        <v>157068</v>
      </c>
      <c r="F148" s="53">
        <f>H148+J148+L148</f>
        <v>103664</v>
      </c>
      <c r="G148" s="53"/>
      <c r="H148" s="53">
        <f>TRUNC(G148*C148,0)</f>
        <v>0</v>
      </c>
      <c r="I148" s="53">
        <f>노임단가!D11</f>
        <v>157068</v>
      </c>
      <c r="J148" s="53">
        <f>TRUNC(I148*C148,0)</f>
        <v>103664</v>
      </c>
      <c r="K148" s="53"/>
      <c r="L148" s="53">
        <f>TRUNC(K148*C148,0)</f>
        <v>0</v>
      </c>
      <c r="M148" s="57" t="s">
        <v>369</v>
      </c>
      <c r="AV148" s="63"/>
    </row>
  </sheetData>
  <sheetProtection/>
  <mergeCells count="10">
    <mergeCell ref="A1:M1"/>
    <mergeCell ref="K3:L3"/>
    <mergeCell ref="E3:F3"/>
    <mergeCell ref="M3:M4"/>
    <mergeCell ref="A3:A4"/>
    <mergeCell ref="B3:B4"/>
    <mergeCell ref="C3:C4"/>
    <mergeCell ref="D3:D4"/>
    <mergeCell ref="G3:H3"/>
    <mergeCell ref="I3:J3"/>
  </mergeCells>
  <printOptions horizontalCentered="1"/>
  <pageMargins left="0.5905511811023623" right="0.3937007874015748" top="0.5905511811023623" bottom="0.3937007874015748" header="0.3937007874015748" footer="0.31496062992125984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130" zoomScaleSheetLayoutView="130" zoomScalePageLayoutView="0" workbookViewId="0" topLeftCell="A1">
      <selection activeCell="C16" sqref="C16"/>
    </sheetView>
  </sheetViews>
  <sheetFormatPr defaultColWidth="9.33203125" defaultRowHeight="18" customHeight="1"/>
  <cols>
    <col min="1" max="1" width="17" style="49" customWidth="1"/>
    <col min="2" max="2" width="23" style="49" customWidth="1"/>
    <col min="3" max="3" width="19" style="49" customWidth="1"/>
    <col min="4" max="4" width="5" style="49" customWidth="1"/>
    <col min="5" max="5" width="16" style="49" customWidth="1"/>
    <col min="6" max="6" width="12" style="49" customWidth="1"/>
    <col min="7" max="7" width="6" style="49" customWidth="1"/>
    <col min="8" max="8" width="12" style="49" customWidth="1"/>
    <col min="9" max="9" width="6" style="49" customWidth="1"/>
    <col min="10" max="10" width="12" style="49" customWidth="1"/>
    <col min="11" max="11" width="6" style="49" customWidth="1"/>
    <col min="12" max="12" width="12" style="49" customWidth="1"/>
    <col min="13" max="13" width="6" style="49" customWidth="1"/>
    <col min="14" max="14" width="12" style="49" customWidth="1"/>
    <col min="15" max="15" width="6" style="49" customWidth="1"/>
    <col min="16" max="20" width="9.33203125" style="49" customWidth="1"/>
    <col min="21" max="24" width="0" style="49" hidden="1" customWidth="1"/>
    <col min="25" max="16384" width="9.33203125" style="49" customWidth="1"/>
  </cols>
  <sheetData>
    <row r="1" ht="18" customHeight="1" thickBot="1">
      <c r="A1" s="49" t="s">
        <v>227</v>
      </c>
    </row>
    <row r="2" spans="1:21" ht="18" customHeight="1">
      <c r="A2" s="142" t="s">
        <v>228</v>
      </c>
      <c r="B2" s="140" t="s">
        <v>229</v>
      </c>
      <c r="C2" s="140" t="s">
        <v>51</v>
      </c>
      <c r="D2" s="140" t="s">
        <v>49</v>
      </c>
      <c r="E2" s="140" t="s">
        <v>230</v>
      </c>
      <c r="F2" s="140" t="s">
        <v>231</v>
      </c>
      <c r="G2" s="140" t="s">
        <v>129</v>
      </c>
      <c r="H2" s="140" t="s">
        <v>232</v>
      </c>
      <c r="I2" s="140" t="s">
        <v>129</v>
      </c>
      <c r="J2" s="140" t="s">
        <v>233</v>
      </c>
      <c r="K2" s="140" t="s">
        <v>129</v>
      </c>
      <c r="L2" s="140" t="s">
        <v>234</v>
      </c>
      <c r="M2" s="140" t="s">
        <v>129</v>
      </c>
      <c r="N2" s="140" t="s">
        <v>235</v>
      </c>
      <c r="O2" s="141" t="s">
        <v>129</v>
      </c>
      <c r="U2" s="49" t="s">
        <v>236</v>
      </c>
    </row>
    <row r="3" spans="1:21" ht="18" customHeight="1" thickBot="1">
      <c r="A3" s="143" t="s">
        <v>129</v>
      </c>
      <c r="B3" s="144" t="s">
        <v>129</v>
      </c>
      <c r="C3" s="144" t="s">
        <v>129</v>
      </c>
      <c r="D3" s="144" t="s">
        <v>129</v>
      </c>
      <c r="E3" s="144" t="s">
        <v>129</v>
      </c>
      <c r="F3" s="67" t="s">
        <v>237</v>
      </c>
      <c r="G3" s="67" t="s">
        <v>238</v>
      </c>
      <c r="H3" s="67" t="s">
        <v>237</v>
      </c>
      <c r="I3" s="67" t="s">
        <v>238</v>
      </c>
      <c r="J3" s="67" t="s">
        <v>237</v>
      </c>
      <c r="K3" s="67" t="s">
        <v>238</v>
      </c>
      <c r="L3" s="67" t="s">
        <v>237</v>
      </c>
      <c r="M3" s="67" t="s">
        <v>238</v>
      </c>
      <c r="N3" s="67" t="s">
        <v>237</v>
      </c>
      <c r="O3" s="68" t="s">
        <v>238</v>
      </c>
      <c r="U3" s="49" t="s">
        <v>239</v>
      </c>
    </row>
    <row r="4" spans="1:24" ht="18" customHeight="1">
      <c r="A4" s="69" t="s">
        <v>242</v>
      </c>
      <c r="B4" s="51" t="s">
        <v>240</v>
      </c>
      <c r="C4" s="51" t="s">
        <v>219</v>
      </c>
      <c r="D4" s="51" t="s">
        <v>241</v>
      </c>
      <c r="E4" s="53">
        <f aca="true" t="shared" si="0" ref="E4:E9">MIN(F4,H4,J4,L4,N4)</f>
        <v>36500</v>
      </c>
      <c r="F4" s="53">
        <v>36500</v>
      </c>
      <c r="G4" s="65">
        <v>369</v>
      </c>
      <c r="H4" s="53"/>
      <c r="I4" s="65" t="s">
        <v>129</v>
      </c>
      <c r="J4" s="53"/>
      <c r="K4" s="65"/>
      <c r="L4" s="53"/>
      <c r="M4" s="65" t="s">
        <v>129</v>
      </c>
      <c r="N4" s="53"/>
      <c r="O4" s="70" t="s">
        <v>129</v>
      </c>
      <c r="U4" s="49" t="s">
        <v>107</v>
      </c>
      <c r="V4" s="49" t="s">
        <v>129</v>
      </c>
      <c r="W4" s="49" t="s">
        <v>129</v>
      </c>
      <c r="X4" s="49" t="s">
        <v>129</v>
      </c>
    </row>
    <row r="5" spans="1:24" ht="18" customHeight="1">
      <c r="A5" s="69" t="s">
        <v>243</v>
      </c>
      <c r="B5" s="51" t="s">
        <v>244</v>
      </c>
      <c r="C5" s="51" t="s">
        <v>221</v>
      </c>
      <c r="D5" s="51" t="s">
        <v>245</v>
      </c>
      <c r="E5" s="53">
        <f t="shared" si="0"/>
        <v>500</v>
      </c>
      <c r="F5" s="53"/>
      <c r="G5" s="65" t="s">
        <v>129</v>
      </c>
      <c r="H5" s="53"/>
      <c r="I5" s="65" t="s">
        <v>129</v>
      </c>
      <c r="J5" s="53"/>
      <c r="K5" s="65" t="s">
        <v>129</v>
      </c>
      <c r="L5" s="53"/>
      <c r="M5" s="65" t="s">
        <v>129</v>
      </c>
      <c r="N5" s="53">
        <v>500</v>
      </c>
      <c r="O5" s="70" t="s">
        <v>129</v>
      </c>
      <c r="U5" s="49" t="s">
        <v>107</v>
      </c>
      <c r="V5" s="49" t="s">
        <v>246</v>
      </c>
      <c r="W5" s="49" t="s">
        <v>247</v>
      </c>
      <c r="X5" s="49" t="s">
        <v>129</v>
      </c>
    </row>
    <row r="6" spans="1:24" ht="18" customHeight="1">
      <c r="A6" s="69" t="s">
        <v>248</v>
      </c>
      <c r="B6" s="51" t="s">
        <v>249</v>
      </c>
      <c r="C6" s="51" t="s">
        <v>129</v>
      </c>
      <c r="D6" s="51" t="s">
        <v>245</v>
      </c>
      <c r="E6" s="53">
        <f t="shared" si="0"/>
        <v>4200</v>
      </c>
      <c r="F6" s="53"/>
      <c r="G6" s="65" t="s">
        <v>129</v>
      </c>
      <c r="H6" s="53"/>
      <c r="I6" s="65" t="s">
        <v>129</v>
      </c>
      <c r="J6" s="53">
        <v>4200</v>
      </c>
      <c r="K6" s="65" t="s">
        <v>250</v>
      </c>
      <c r="L6" s="53"/>
      <c r="M6" s="65" t="s">
        <v>129</v>
      </c>
      <c r="N6" s="53"/>
      <c r="O6" s="70" t="s">
        <v>129</v>
      </c>
      <c r="U6" s="49" t="s">
        <v>107</v>
      </c>
      <c r="V6" s="49" t="s">
        <v>246</v>
      </c>
      <c r="W6" s="49" t="s">
        <v>247</v>
      </c>
      <c r="X6" s="49" t="s">
        <v>129</v>
      </c>
    </row>
    <row r="7" spans="1:24" ht="18" customHeight="1">
      <c r="A7" s="69" t="s">
        <v>251</v>
      </c>
      <c r="B7" s="51" t="s">
        <v>252</v>
      </c>
      <c r="C7" s="51" t="s">
        <v>129</v>
      </c>
      <c r="D7" s="51" t="s">
        <v>253</v>
      </c>
      <c r="E7" s="53">
        <f t="shared" si="0"/>
        <v>22500</v>
      </c>
      <c r="F7" s="53">
        <v>22500</v>
      </c>
      <c r="G7" s="65" t="s">
        <v>254</v>
      </c>
      <c r="H7" s="53"/>
      <c r="I7" s="65" t="s">
        <v>129</v>
      </c>
      <c r="J7" s="53"/>
      <c r="K7" s="65" t="s">
        <v>129</v>
      </c>
      <c r="L7" s="53"/>
      <c r="M7" s="65" t="s">
        <v>129</v>
      </c>
      <c r="N7" s="53"/>
      <c r="O7" s="70" t="s">
        <v>129</v>
      </c>
      <c r="V7" s="49" t="s">
        <v>129</v>
      </c>
      <c r="W7" s="49" t="s">
        <v>129</v>
      </c>
      <c r="X7" s="49" t="s">
        <v>129</v>
      </c>
    </row>
    <row r="8" spans="1:24" ht="18" customHeight="1">
      <c r="A8" s="69" t="s">
        <v>255</v>
      </c>
      <c r="B8" s="51" t="s">
        <v>256</v>
      </c>
      <c r="C8" s="51" t="s">
        <v>129</v>
      </c>
      <c r="D8" s="51" t="s">
        <v>257</v>
      </c>
      <c r="E8" s="53">
        <f t="shared" si="0"/>
        <v>7750</v>
      </c>
      <c r="F8" s="53"/>
      <c r="G8" s="65" t="s">
        <v>129</v>
      </c>
      <c r="H8" s="53"/>
      <c r="I8" s="65" t="s">
        <v>129</v>
      </c>
      <c r="J8" s="53">
        <v>7750</v>
      </c>
      <c r="K8" s="65" t="s">
        <v>258</v>
      </c>
      <c r="L8" s="53"/>
      <c r="M8" s="65" t="s">
        <v>129</v>
      </c>
      <c r="N8" s="53"/>
      <c r="O8" s="70" t="s">
        <v>129</v>
      </c>
      <c r="V8" s="49" t="s">
        <v>129</v>
      </c>
      <c r="W8" s="49" t="s">
        <v>129</v>
      </c>
      <c r="X8" s="49" t="s">
        <v>129</v>
      </c>
    </row>
    <row r="9" spans="1:24" ht="18" customHeight="1" thickBot="1">
      <c r="A9" s="71" t="s">
        <v>259</v>
      </c>
      <c r="B9" s="72" t="s">
        <v>260</v>
      </c>
      <c r="C9" s="72" t="s">
        <v>225</v>
      </c>
      <c r="D9" s="72" t="s">
        <v>261</v>
      </c>
      <c r="E9" s="73">
        <f t="shared" si="0"/>
        <v>820</v>
      </c>
      <c r="F9" s="73"/>
      <c r="G9" s="74" t="s">
        <v>129</v>
      </c>
      <c r="H9" s="73"/>
      <c r="I9" s="74" t="s">
        <v>129</v>
      </c>
      <c r="J9" s="73">
        <v>820</v>
      </c>
      <c r="K9" s="74" t="s">
        <v>262</v>
      </c>
      <c r="L9" s="73"/>
      <c r="M9" s="74" t="s">
        <v>129</v>
      </c>
      <c r="N9" s="73"/>
      <c r="O9" s="75" t="s">
        <v>129</v>
      </c>
      <c r="V9" s="49" t="s">
        <v>129</v>
      </c>
      <c r="W9" s="49" t="s">
        <v>129</v>
      </c>
      <c r="X9" s="49" t="s">
        <v>129</v>
      </c>
    </row>
    <row r="11" ht="18" customHeight="1">
      <c r="U11" s="49" t="s">
        <v>231</v>
      </c>
    </row>
    <row r="12" ht="18" customHeight="1">
      <c r="U12" s="49" t="s">
        <v>232</v>
      </c>
    </row>
    <row r="13" ht="18" customHeight="1">
      <c r="U13" s="49" t="s">
        <v>233</v>
      </c>
    </row>
    <row r="14" ht="18" customHeight="1">
      <c r="U14" s="49" t="s">
        <v>234</v>
      </c>
    </row>
    <row r="15" ht="18" customHeight="1">
      <c r="U15" s="49" t="s">
        <v>235</v>
      </c>
    </row>
    <row r="16" ht="18" customHeight="1">
      <c r="U16" s="49" t="s">
        <v>129</v>
      </c>
    </row>
    <row r="21" ht="18" customHeight="1">
      <c r="U21" s="49" t="s">
        <v>107</v>
      </c>
    </row>
    <row r="22" ht="18" customHeight="1">
      <c r="U22" s="49" t="s">
        <v>107</v>
      </c>
    </row>
    <row r="23" ht="18" customHeight="1">
      <c r="U23" s="49" t="s">
        <v>107</v>
      </c>
    </row>
    <row r="24" ht="18" customHeight="1">
      <c r="U24" s="49" t="s">
        <v>107</v>
      </c>
    </row>
    <row r="25" ht="18" customHeight="1">
      <c r="U25" s="49" t="s">
        <v>107</v>
      </c>
    </row>
    <row r="26" ht="18" customHeight="1">
      <c r="U26" s="49" t="s">
        <v>107</v>
      </c>
    </row>
  </sheetData>
  <sheetProtection/>
  <mergeCells count="10">
    <mergeCell ref="H2:I2"/>
    <mergeCell ref="J2:K2"/>
    <mergeCell ref="L2:M2"/>
    <mergeCell ref="N2:O2"/>
    <mergeCell ref="A2:A3"/>
    <mergeCell ref="B2:B3"/>
    <mergeCell ref="C2:C3"/>
    <mergeCell ref="D2:D3"/>
    <mergeCell ref="E2:E3"/>
    <mergeCell ref="F2:G2"/>
  </mergeCells>
  <printOptions/>
  <pageMargins left="0.31496062992125984" right="0.31496062992125984" top="1" bottom="0.5905511811023622" header="0.5" footer="0.5"/>
  <pageSetup horizontalDpi="600" verticalDpi="600" orientation="landscape" paperSize="9" r:id="rId1"/>
  <headerFooter alignWithMargins="0">
    <oddHeader>&amp;RPage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33203125" defaultRowHeight="18" customHeight="1"/>
  <cols>
    <col min="1" max="1" width="30" style="49" customWidth="1"/>
    <col min="2" max="2" width="25" style="49" customWidth="1"/>
    <col min="3" max="3" width="10" style="61" customWidth="1"/>
    <col min="4" max="4" width="20" style="49" customWidth="1"/>
    <col min="5" max="5" width="30" style="49" customWidth="1"/>
    <col min="6" max="16384" width="9.33203125" style="49" customWidth="1"/>
  </cols>
  <sheetData>
    <row r="1" ht="18" customHeight="1" thickBot="1">
      <c r="A1" s="49" t="s">
        <v>263</v>
      </c>
    </row>
    <row r="2" spans="1:5" ht="18" customHeight="1" thickBot="1">
      <c r="A2" s="76" t="s">
        <v>229</v>
      </c>
      <c r="B2" s="77" t="s">
        <v>51</v>
      </c>
      <c r="C2" s="77" t="s">
        <v>120</v>
      </c>
      <c r="D2" s="77" t="s">
        <v>264</v>
      </c>
      <c r="E2" s="78" t="s">
        <v>36</v>
      </c>
    </row>
    <row r="3" spans="1:5" ht="18" customHeight="1">
      <c r="A3" s="69" t="s">
        <v>265</v>
      </c>
      <c r="B3" s="51" t="s">
        <v>129</v>
      </c>
      <c r="C3" s="56" t="s">
        <v>266</v>
      </c>
      <c r="D3" s="53">
        <v>223124</v>
      </c>
      <c r="E3" s="79" t="s">
        <v>129</v>
      </c>
    </row>
    <row r="4" spans="1:5" ht="18" customHeight="1">
      <c r="A4" s="69" t="s">
        <v>267</v>
      </c>
      <c r="B4" s="51" t="s">
        <v>129</v>
      </c>
      <c r="C4" s="56" t="s">
        <v>266</v>
      </c>
      <c r="D4" s="53">
        <v>242035</v>
      </c>
      <c r="E4" s="79" t="s">
        <v>129</v>
      </c>
    </row>
    <row r="5" spans="1:5" ht="18" customHeight="1">
      <c r="A5" s="69" t="s">
        <v>279</v>
      </c>
      <c r="B5" s="51"/>
      <c r="C5" s="56" t="s">
        <v>266</v>
      </c>
      <c r="D5" s="53">
        <v>242636</v>
      </c>
      <c r="E5" s="79"/>
    </row>
    <row r="6" spans="1:5" ht="18" customHeight="1">
      <c r="A6" s="69" t="s">
        <v>290</v>
      </c>
      <c r="B6" s="51"/>
      <c r="C6" s="56" t="s">
        <v>266</v>
      </c>
      <c r="D6" s="53">
        <v>185459</v>
      </c>
      <c r="E6" s="79"/>
    </row>
    <row r="7" spans="1:5" ht="18" customHeight="1">
      <c r="A7" s="69" t="s">
        <v>302</v>
      </c>
      <c r="B7" s="51"/>
      <c r="C7" s="56" t="s">
        <v>266</v>
      </c>
      <c r="D7" s="53">
        <v>199427</v>
      </c>
      <c r="E7" s="79"/>
    </row>
    <row r="8" spans="1:5" ht="18" customHeight="1">
      <c r="A8" s="69" t="s">
        <v>343</v>
      </c>
      <c r="B8" s="51"/>
      <c r="C8" s="56" t="s">
        <v>266</v>
      </c>
      <c r="D8" s="53">
        <v>214118</v>
      </c>
      <c r="E8" s="79"/>
    </row>
    <row r="9" spans="1:5" ht="18" customHeight="1">
      <c r="A9" s="69" t="s">
        <v>383</v>
      </c>
      <c r="B9" s="51"/>
      <c r="C9" s="56" t="s">
        <v>266</v>
      </c>
      <c r="D9" s="53">
        <v>203631</v>
      </c>
      <c r="E9" s="79"/>
    </row>
    <row r="10" spans="1:5" ht="18" customHeight="1">
      <c r="A10" s="69" t="s">
        <v>6</v>
      </c>
      <c r="B10" s="51" t="s">
        <v>129</v>
      </c>
      <c r="C10" s="56" t="s">
        <v>266</v>
      </c>
      <c r="D10" s="53">
        <v>197450</v>
      </c>
      <c r="E10" s="79" t="s">
        <v>129</v>
      </c>
    </row>
    <row r="11" spans="1:5" ht="18" customHeight="1">
      <c r="A11" s="69" t="s">
        <v>7</v>
      </c>
      <c r="B11" s="51" t="s">
        <v>129</v>
      </c>
      <c r="C11" s="56" t="s">
        <v>266</v>
      </c>
      <c r="D11" s="53">
        <v>157068</v>
      </c>
      <c r="E11" s="79" t="s">
        <v>129</v>
      </c>
    </row>
    <row r="12" spans="1:5" ht="18" customHeight="1" thickBot="1">
      <c r="A12" s="71" t="s">
        <v>268</v>
      </c>
      <c r="B12" s="72" t="s">
        <v>129</v>
      </c>
      <c r="C12" s="82" t="s">
        <v>266</v>
      </c>
      <c r="D12" s="73">
        <v>249748</v>
      </c>
      <c r="E12" s="80" t="s">
        <v>129</v>
      </c>
    </row>
    <row r="13" ht="18" customHeight="1">
      <c r="D13" s="81"/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 r:id="rId1"/>
  <headerFooter alignWithMargins="0">
    <oddHeader>&amp;RPage :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Normal="70" zoomScaleSheetLayoutView="100" zoomScalePageLayoutView="0" workbookViewId="0" topLeftCell="A28">
      <selection activeCell="J84" sqref="J84"/>
    </sheetView>
  </sheetViews>
  <sheetFormatPr defaultColWidth="9.33203125" defaultRowHeight="10.5"/>
  <cols>
    <col min="1" max="1" width="22.16015625" style="88" customWidth="1"/>
    <col min="2" max="2" width="15.66015625" style="88" customWidth="1"/>
    <col min="3" max="3" width="16.16015625" style="88" customWidth="1"/>
    <col min="4" max="4" width="19.33203125" style="88" customWidth="1"/>
    <col min="5" max="5" width="18.66015625" style="88" customWidth="1"/>
    <col min="6" max="6" width="30.66015625" style="89" customWidth="1"/>
    <col min="7" max="7" width="22.16015625" style="88" customWidth="1"/>
    <col min="8" max="16384" width="9.33203125" style="88" customWidth="1"/>
  </cols>
  <sheetData>
    <row r="1" spans="1:7" s="84" customFormat="1" ht="34.5" customHeight="1">
      <c r="A1" s="145"/>
      <c r="B1" s="145"/>
      <c r="C1" s="145"/>
      <c r="D1" s="145"/>
      <c r="E1" s="145"/>
      <c r="F1" s="145"/>
      <c r="G1" s="145"/>
    </row>
    <row r="2" spans="1:7" s="84" customFormat="1" ht="34.5" customHeight="1">
      <c r="A2" s="90"/>
      <c r="B2" s="90"/>
      <c r="C2" s="90"/>
      <c r="D2" s="90"/>
      <c r="E2" s="90"/>
      <c r="F2" s="90"/>
      <c r="G2" s="90"/>
    </row>
    <row r="3" spans="1:7" s="84" customFormat="1" ht="34.5" customHeight="1">
      <c r="A3" s="91"/>
      <c r="B3" s="92"/>
      <c r="C3" s="93"/>
      <c r="D3" s="93"/>
      <c r="E3" s="93"/>
      <c r="F3" s="94"/>
      <c r="G3" s="93"/>
    </row>
    <row r="4" spans="1:7" s="84" customFormat="1" ht="34.5" customHeight="1">
      <c r="A4" s="95"/>
      <c r="B4" s="146"/>
      <c r="C4" s="147"/>
      <c r="D4" s="91"/>
      <c r="E4" s="148"/>
      <c r="F4" s="148"/>
      <c r="G4" s="148"/>
    </row>
    <row r="5" spans="1:7" s="84" customFormat="1" ht="34.5" customHeight="1">
      <c r="A5" s="95"/>
      <c r="B5" s="149"/>
      <c r="C5" s="149"/>
      <c r="D5" s="91"/>
      <c r="E5" s="148"/>
      <c r="F5" s="148"/>
      <c r="G5" s="148"/>
    </row>
    <row r="6" spans="1:7" s="84" customFormat="1" ht="34.5" customHeight="1">
      <c r="A6" s="95"/>
      <c r="B6" s="149"/>
      <c r="C6" s="149"/>
      <c r="D6" s="91"/>
      <c r="E6" s="148"/>
      <c r="F6" s="148"/>
      <c r="G6" s="148"/>
    </row>
    <row r="7" spans="1:7" s="84" customFormat="1" ht="34.5" customHeight="1">
      <c r="A7" s="96"/>
      <c r="B7" s="152"/>
      <c r="C7" s="152"/>
      <c r="D7" s="91"/>
      <c r="E7" s="148"/>
      <c r="F7" s="148"/>
      <c r="G7" s="148"/>
    </row>
    <row r="8" spans="1:10" s="84" customFormat="1" ht="34.5" customHeight="1">
      <c r="A8" s="97"/>
      <c r="B8" s="97"/>
      <c r="C8" s="97"/>
      <c r="D8" s="91"/>
      <c r="E8" s="148"/>
      <c r="F8" s="148"/>
      <c r="G8" s="148"/>
      <c r="J8" s="86"/>
    </row>
    <row r="9" spans="1:7" s="84" customFormat="1" ht="34.5" customHeight="1">
      <c r="A9" s="93"/>
      <c r="B9" s="93"/>
      <c r="C9" s="93"/>
      <c r="D9" s="93"/>
      <c r="E9" s="93"/>
      <c r="F9" s="94"/>
      <c r="G9" s="93"/>
    </row>
    <row r="10" spans="1:7" s="84" customFormat="1" ht="34.5" customHeight="1">
      <c r="A10" s="93"/>
      <c r="B10" s="93"/>
      <c r="C10" s="93"/>
      <c r="D10" s="93"/>
      <c r="E10" s="93"/>
      <c r="F10" s="94"/>
      <c r="G10" s="93"/>
    </row>
    <row r="11" spans="1:7" s="84" customFormat="1" ht="34.5" customHeight="1">
      <c r="A11" s="93"/>
      <c r="B11" s="93"/>
      <c r="C11" s="93"/>
      <c r="D11" s="93"/>
      <c r="E11" s="93"/>
      <c r="F11" s="94"/>
      <c r="G11" s="93"/>
    </row>
    <row r="12" spans="1:7" s="87" customFormat="1" ht="34.5" customHeight="1">
      <c r="A12" s="150"/>
      <c r="B12" s="150"/>
      <c r="C12" s="150"/>
      <c r="D12" s="150"/>
      <c r="E12" s="150"/>
      <c r="F12" s="150"/>
      <c r="G12" s="150"/>
    </row>
    <row r="13" spans="1:7" s="85" customFormat="1" ht="34.5" customHeight="1">
      <c r="A13" s="151"/>
      <c r="B13" s="151"/>
      <c r="C13" s="151"/>
      <c r="D13" s="151"/>
      <c r="E13" s="151"/>
      <c r="F13" s="151"/>
      <c r="G13" s="151"/>
    </row>
    <row r="14" spans="1:7" s="84" customFormat="1" ht="34.5" customHeight="1">
      <c r="A14" s="98"/>
      <c r="B14" s="99"/>
      <c r="C14" s="100"/>
      <c r="D14" s="101"/>
      <c r="E14" s="101"/>
      <c r="F14" s="102"/>
      <c r="G14" s="98"/>
    </row>
    <row r="15" spans="1:7" s="84" customFormat="1" ht="34.5" customHeight="1">
      <c r="A15" s="98"/>
      <c r="B15" s="103"/>
      <c r="C15" s="100"/>
      <c r="D15" s="101"/>
      <c r="E15" s="101"/>
      <c r="F15" s="102"/>
      <c r="G15" s="98"/>
    </row>
    <row r="16" spans="1:7" s="84" customFormat="1" ht="34.5" customHeight="1">
      <c r="A16" s="98"/>
      <c r="B16" s="103"/>
      <c r="C16" s="100"/>
      <c r="D16" s="101"/>
      <c r="E16" s="101"/>
      <c r="F16" s="102"/>
      <c r="G16" s="98"/>
    </row>
    <row r="17" spans="1:7" s="84" customFormat="1" ht="34.5" customHeight="1">
      <c r="A17" s="98"/>
      <c r="B17" s="98"/>
      <c r="C17" s="100"/>
      <c r="D17" s="101"/>
      <c r="E17" s="101"/>
      <c r="F17" s="102"/>
      <c r="G17" s="98"/>
    </row>
    <row r="18" spans="1:7" s="84" customFormat="1" ht="34.5" customHeight="1">
      <c r="A18" s="98"/>
      <c r="B18" s="98"/>
      <c r="C18" s="100"/>
      <c r="D18" s="101"/>
      <c r="E18" s="101"/>
      <c r="F18" s="102"/>
      <c r="G18" s="98"/>
    </row>
    <row r="19" spans="1:7" s="84" customFormat="1" ht="34.5" customHeight="1">
      <c r="A19" s="98"/>
      <c r="B19" s="98"/>
      <c r="C19" s="100"/>
      <c r="D19" s="101"/>
      <c r="E19" s="101"/>
      <c r="F19" s="102"/>
      <c r="G19" s="98"/>
    </row>
    <row r="20" spans="1:7" s="84" customFormat="1" ht="34.5" customHeight="1">
      <c r="A20" s="98"/>
      <c r="B20" s="98"/>
      <c r="C20" s="100"/>
      <c r="D20" s="101"/>
      <c r="E20" s="101"/>
      <c r="F20" s="102"/>
      <c r="G20" s="98"/>
    </row>
    <row r="21" spans="1:7" s="84" customFormat="1" ht="34.5" customHeight="1">
      <c r="A21" s="98"/>
      <c r="B21" s="98"/>
      <c r="C21" s="100"/>
      <c r="D21" s="101"/>
      <c r="E21" s="101"/>
      <c r="F21" s="102"/>
      <c r="G21" s="98"/>
    </row>
    <row r="22" spans="1:7" s="84" customFormat="1" ht="34.5" customHeight="1">
      <c r="A22" s="98"/>
      <c r="B22" s="98"/>
      <c r="C22" s="100"/>
      <c r="D22" s="101"/>
      <c r="E22" s="101"/>
      <c r="F22" s="102"/>
      <c r="G22" s="98"/>
    </row>
    <row r="23" spans="1:7" s="84" customFormat="1" ht="34.5" customHeight="1">
      <c r="A23" s="98"/>
      <c r="B23" s="98"/>
      <c r="C23" s="100"/>
      <c r="D23" s="101"/>
      <c r="E23" s="101"/>
      <c r="F23" s="102"/>
      <c r="G23" s="98"/>
    </row>
    <row r="24" spans="1:7" s="84" customFormat="1" ht="34.5" customHeight="1">
      <c r="A24" s="98"/>
      <c r="B24" s="98"/>
      <c r="C24" s="100"/>
      <c r="D24" s="101"/>
      <c r="E24" s="101"/>
      <c r="F24" s="102"/>
      <c r="G24" s="98"/>
    </row>
    <row r="25" spans="1:7" s="84" customFormat="1" ht="34.5" customHeight="1">
      <c r="A25" s="98"/>
      <c r="B25" s="98"/>
      <c r="C25" s="100"/>
      <c r="D25" s="101"/>
      <c r="E25" s="101"/>
      <c r="F25" s="102"/>
      <c r="G25" s="98"/>
    </row>
    <row r="26" spans="1:7" s="84" customFormat="1" ht="34.5" customHeight="1">
      <c r="A26" s="98"/>
      <c r="B26" s="98"/>
      <c r="C26" s="100"/>
      <c r="D26" s="101"/>
      <c r="E26" s="101"/>
      <c r="F26" s="102"/>
      <c r="G26" s="98"/>
    </row>
    <row r="27" spans="1:7" s="84" customFormat="1" ht="34.5" customHeight="1">
      <c r="A27" s="98"/>
      <c r="B27" s="98"/>
      <c r="C27" s="100"/>
      <c r="D27" s="101"/>
      <c r="E27" s="101"/>
      <c r="F27" s="102"/>
      <c r="G27" s="98"/>
    </row>
    <row r="28" spans="1:7" s="84" customFormat="1" ht="34.5" customHeight="1">
      <c r="A28" s="98"/>
      <c r="B28" s="98"/>
      <c r="C28" s="100"/>
      <c r="D28" s="101"/>
      <c r="E28" s="101"/>
      <c r="F28" s="102"/>
      <c r="G28" s="98"/>
    </row>
    <row r="29" spans="1:7" s="84" customFormat="1" ht="34.5" customHeight="1">
      <c r="A29" s="145"/>
      <c r="B29" s="145"/>
      <c r="C29" s="145"/>
      <c r="D29" s="145"/>
      <c r="E29" s="145"/>
      <c r="F29" s="145"/>
      <c r="G29" s="145"/>
    </row>
    <row r="30" spans="1:7" s="84" customFormat="1" ht="34.5" customHeight="1">
      <c r="A30" s="90"/>
      <c r="B30" s="90"/>
      <c r="C30" s="90"/>
      <c r="D30" s="90"/>
      <c r="E30" s="90"/>
      <c r="F30" s="90"/>
      <c r="G30" s="90"/>
    </row>
    <row r="31" spans="1:7" s="84" customFormat="1" ht="34.5" customHeight="1">
      <c r="A31" s="91"/>
      <c r="B31" s="92"/>
      <c r="C31" s="93"/>
      <c r="D31" s="93"/>
      <c r="E31" s="93"/>
      <c r="F31" s="94"/>
      <c r="G31" s="93"/>
    </row>
    <row r="32" spans="1:7" s="84" customFormat="1" ht="34.5" customHeight="1">
      <c r="A32" s="95"/>
      <c r="B32" s="146"/>
      <c r="C32" s="147"/>
      <c r="D32" s="91"/>
      <c r="E32" s="148"/>
      <c r="F32" s="148"/>
      <c r="G32" s="148"/>
    </row>
    <row r="33" spans="1:7" s="84" customFormat="1" ht="34.5" customHeight="1">
      <c r="A33" s="95"/>
      <c r="B33" s="149"/>
      <c r="C33" s="149"/>
      <c r="D33" s="91"/>
      <c r="E33" s="148"/>
      <c r="F33" s="148"/>
      <c r="G33" s="148"/>
    </row>
    <row r="34" spans="1:7" s="84" customFormat="1" ht="34.5" customHeight="1">
      <c r="A34" s="95"/>
      <c r="B34" s="149"/>
      <c r="C34" s="149"/>
      <c r="D34" s="91"/>
      <c r="E34" s="148"/>
      <c r="F34" s="148"/>
      <c r="G34" s="148"/>
    </row>
    <row r="35" spans="1:7" s="84" customFormat="1" ht="34.5" customHeight="1">
      <c r="A35" s="96"/>
      <c r="B35" s="152"/>
      <c r="C35" s="152"/>
      <c r="D35" s="91"/>
      <c r="E35" s="148"/>
      <c r="F35" s="148"/>
      <c r="G35" s="148"/>
    </row>
    <row r="36" spans="1:10" s="84" customFormat="1" ht="34.5" customHeight="1">
      <c r="A36" s="97"/>
      <c r="B36" s="97"/>
      <c r="C36" s="97"/>
      <c r="D36" s="91"/>
      <c r="E36" s="148"/>
      <c r="F36" s="148"/>
      <c r="G36" s="148"/>
      <c r="J36" s="86"/>
    </row>
    <row r="37" spans="1:7" s="84" customFormat="1" ht="34.5" customHeight="1">
      <c r="A37" s="93"/>
      <c r="B37" s="93"/>
      <c r="C37" s="93"/>
      <c r="D37" s="93"/>
      <c r="E37" s="93"/>
      <c r="F37" s="94"/>
      <c r="G37" s="93"/>
    </row>
    <row r="38" spans="1:7" s="84" customFormat="1" ht="34.5" customHeight="1">
      <c r="A38" s="93"/>
      <c r="B38" s="93"/>
      <c r="C38" s="93"/>
      <c r="D38" s="93"/>
      <c r="E38" s="93"/>
      <c r="F38" s="94"/>
      <c r="G38" s="93"/>
    </row>
    <row r="39" spans="1:7" s="84" customFormat="1" ht="34.5" customHeight="1">
      <c r="A39" s="93"/>
      <c r="B39" s="93"/>
      <c r="C39" s="93"/>
      <c r="D39" s="93"/>
      <c r="E39" s="93"/>
      <c r="F39" s="94"/>
      <c r="G39" s="93"/>
    </row>
    <row r="40" spans="1:7" s="87" customFormat="1" ht="34.5" customHeight="1">
      <c r="A40" s="150"/>
      <c r="B40" s="150"/>
      <c r="C40" s="150"/>
      <c r="D40" s="150"/>
      <c r="E40" s="150"/>
      <c r="F40" s="150"/>
      <c r="G40" s="150"/>
    </row>
    <row r="41" spans="1:7" s="85" customFormat="1" ht="34.5" customHeight="1">
      <c r="A41" s="151"/>
      <c r="B41" s="151"/>
      <c r="C41" s="151"/>
      <c r="D41" s="151"/>
      <c r="E41" s="151"/>
      <c r="F41" s="151"/>
      <c r="G41" s="151"/>
    </row>
    <row r="42" spans="1:7" s="84" customFormat="1" ht="34.5" customHeight="1">
      <c r="A42" s="98"/>
      <c r="B42" s="99"/>
      <c r="C42" s="100"/>
      <c r="D42" s="101"/>
      <c r="E42" s="101"/>
      <c r="F42" s="102"/>
      <c r="G42" s="98"/>
    </row>
    <row r="43" spans="1:7" s="84" customFormat="1" ht="34.5" customHeight="1">
      <c r="A43" s="98"/>
      <c r="B43" s="103"/>
      <c r="C43" s="100"/>
      <c r="D43" s="101"/>
      <c r="E43" s="101"/>
      <c r="F43" s="102"/>
      <c r="G43" s="98"/>
    </row>
    <row r="44" spans="1:7" s="84" customFormat="1" ht="34.5" customHeight="1">
      <c r="A44" s="98"/>
      <c r="B44" s="103"/>
      <c r="C44" s="100"/>
      <c r="D44" s="101"/>
      <c r="E44" s="101"/>
      <c r="F44" s="102"/>
      <c r="G44" s="98"/>
    </row>
    <row r="45" spans="1:7" s="84" customFormat="1" ht="34.5" customHeight="1">
      <c r="A45" s="98"/>
      <c r="B45" s="98"/>
      <c r="C45" s="100"/>
      <c r="D45" s="101"/>
      <c r="E45" s="101"/>
      <c r="F45" s="102"/>
      <c r="G45" s="98"/>
    </row>
    <row r="46" spans="1:7" s="84" customFormat="1" ht="34.5" customHeight="1">
      <c r="A46" s="98"/>
      <c r="B46" s="98"/>
      <c r="C46" s="100"/>
      <c r="D46" s="101"/>
      <c r="E46" s="101"/>
      <c r="F46" s="102"/>
      <c r="G46" s="98"/>
    </row>
    <row r="47" spans="1:7" s="84" customFormat="1" ht="34.5" customHeight="1">
      <c r="A47" s="98"/>
      <c r="B47" s="98"/>
      <c r="C47" s="100"/>
      <c r="D47" s="101"/>
      <c r="E47" s="101"/>
      <c r="F47" s="102"/>
      <c r="G47" s="98"/>
    </row>
    <row r="48" spans="1:7" s="84" customFormat="1" ht="34.5" customHeight="1">
      <c r="A48" s="98"/>
      <c r="B48" s="98"/>
      <c r="C48" s="100"/>
      <c r="D48" s="101"/>
      <c r="E48" s="101"/>
      <c r="F48" s="102"/>
      <c r="G48" s="98"/>
    </row>
    <row r="49" spans="1:7" s="84" customFormat="1" ht="34.5" customHeight="1">
      <c r="A49" s="98"/>
      <c r="B49" s="98"/>
      <c r="C49" s="100"/>
      <c r="D49" s="101"/>
      <c r="E49" s="101"/>
      <c r="F49" s="102"/>
      <c r="G49" s="98"/>
    </row>
    <row r="50" spans="1:7" s="84" customFormat="1" ht="34.5" customHeight="1">
      <c r="A50" s="98"/>
      <c r="B50" s="98"/>
      <c r="C50" s="100"/>
      <c r="D50" s="101"/>
      <c r="E50" s="101"/>
      <c r="F50" s="102"/>
      <c r="G50" s="98"/>
    </row>
    <row r="51" spans="1:7" s="84" customFormat="1" ht="34.5" customHeight="1">
      <c r="A51" s="98"/>
      <c r="B51" s="98"/>
      <c r="C51" s="100"/>
      <c r="D51" s="101"/>
      <c r="E51" s="101"/>
      <c r="F51" s="102"/>
      <c r="G51" s="98"/>
    </row>
    <row r="52" spans="1:7" s="84" customFormat="1" ht="34.5" customHeight="1">
      <c r="A52" s="98"/>
      <c r="B52" s="98"/>
      <c r="C52" s="100"/>
      <c r="D52" s="101"/>
      <c r="E52" s="101"/>
      <c r="F52" s="102"/>
      <c r="G52" s="98"/>
    </row>
    <row r="53" spans="1:7" s="84" customFormat="1" ht="34.5" customHeight="1">
      <c r="A53" s="98"/>
      <c r="B53" s="98"/>
      <c r="C53" s="100"/>
      <c r="D53" s="101"/>
      <c r="E53" s="101"/>
      <c r="F53" s="102"/>
      <c r="G53" s="98"/>
    </row>
    <row r="54" spans="1:7" s="84" customFormat="1" ht="34.5" customHeight="1">
      <c r="A54" s="98"/>
      <c r="B54" s="98"/>
      <c r="C54" s="100"/>
      <c r="D54" s="101"/>
      <c r="E54" s="101"/>
      <c r="F54" s="102"/>
      <c r="G54" s="98"/>
    </row>
    <row r="55" spans="1:7" s="84" customFormat="1" ht="34.5" customHeight="1">
      <c r="A55" s="98"/>
      <c r="B55" s="98"/>
      <c r="C55" s="100"/>
      <c r="D55" s="101"/>
      <c r="E55" s="101"/>
      <c r="F55" s="102"/>
      <c r="G55" s="98"/>
    </row>
    <row r="56" spans="1:7" s="84" customFormat="1" ht="34.5" customHeight="1">
      <c r="A56" s="98"/>
      <c r="B56" s="98"/>
      <c r="C56" s="100"/>
      <c r="D56" s="101"/>
      <c r="E56" s="101"/>
      <c r="F56" s="102"/>
      <c r="G56" s="98"/>
    </row>
    <row r="57" spans="1:7" s="84" customFormat="1" ht="34.5" customHeight="1">
      <c r="A57" s="145"/>
      <c r="B57" s="145"/>
      <c r="C57" s="145"/>
      <c r="D57" s="145"/>
      <c r="E57" s="145"/>
      <c r="F57" s="145"/>
      <c r="G57" s="145"/>
    </row>
    <row r="58" spans="1:7" s="84" customFormat="1" ht="34.5" customHeight="1">
      <c r="A58" s="90"/>
      <c r="B58" s="90"/>
      <c r="C58" s="90"/>
      <c r="D58" s="90"/>
      <c r="E58" s="90"/>
      <c r="F58" s="90"/>
      <c r="G58" s="90"/>
    </row>
    <row r="59" spans="1:7" s="84" customFormat="1" ht="34.5" customHeight="1">
      <c r="A59" s="91"/>
      <c r="B59" s="92"/>
      <c r="C59" s="93"/>
      <c r="D59" s="93"/>
      <c r="E59" s="93"/>
      <c r="F59" s="94"/>
      <c r="G59" s="93"/>
    </row>
    <row r="60" spans="1:7" s="84" customFormat="1" ht="34.5" customHeight="1">
      <c r="A60" s="95"/>
      <c r="B60" s="146"/>
      <c r="C60" s="147"/>
      <c r="D60" s="91"/>
      <c r="E60" s="148"/>
      <c r="F60" s="148"/>
      <c r="G60" s="148"/>
    </row>
    <row r="61" spans="1:7" s="84" customFormat="1" ht="34.5" customHeight="1">
      <c r="A61" s="95"/>
      <c r="B61" s="149"/>
      <c r="C61" s="149"/>
      <c r="D61" s="91"/>
      <c r="E61" s="148"/>
      <c r="F61" s="148"/>
      <c r="G61" s="148"/>
    </row>
    <row r="62" spans="1:7" s="84" customFormat="1" ht="34.5" customHeight="1">
      <c r="A62" s="95"/>
      <c r="B62" s="149"/>
      <c r="C62" s="149"/>
      <c r="D62" s="91"/>
      <c r="E62" s="148"/>
      <c r="F62" s="148"/>
      <c r="G62" s="148"/>
    </row>
    <row r="63" spans="1:7" s="84" customFormat="1" ht="34.5" customHeight="1">
      <c r="A63" s="96"/>
      <c r="B63" s="152"/>
      <c r="C63" s="152"/>
      <c r="D63" s="91"/>
      <c r="E63" s="148"/>
      <c r="F63" s="148"/>
      <c r="G63" s="148"/>
    </row>
    <row r="64" spans="1:10" s="84" customFormat="1" ht="34.5" customHeight="1">
      <c r="A64" s="97"/>
      <c r="B64" s="97"/>
      <c r="C64" s="97"/>
      <c r="D64" s="91"/>
      <c r="E64" s="148"/>
      <c r="F64" s="148"/>
      <c r="G64" s="148"/>
      <c r="J64" s="86"/>
    </row>
    <row r="65" spans="1:7" s="84" customFormat="1" ht="34.5" customHeight="1">
      <c r="A65" s="93"/>
      <c r="B65" s="93"/>
      <c r="C65" s="93"/>
      <c r="D65" s="93"/>
      <c r="E65" s="93"/>
      <c r="F65" s="94"/>
      <c r="G65" s="93"/>
    </row>
    <row r="66" spans="1:7" s="84" customFormat="1" ht="34.5" customHeight="1">
      <c r="A66" s="93"/>
      <c r="B66" s="93"/>
      <c r="C66" s="93"/>
      <c r="D66" s="93"/>
      <c r="E66" s="93"/>
      <c r="F66" s="94"/>
      <c r="G66" s="93"/>
    </row>
    <row r="67" spans="1:7" s="84" customFormat="1" ht="34.5" customHeight="1">
      <c r="A67" s="93"/>
      <c r="B67" s="93"/>
      <c r="C67" s="93"/>
      <c r="D67" s="93"/>
      <c r="E67" s="93"/>
      <c r="F67" s="94"/>
      <c r="G67" s="93"/>
    </row>
    <row r="68" spans="1:7" s="87" customFormat="1" ht="34.5" customHeight="1">
      <c r="A68" s="150"/>
      <c r="B68" s="150"/>
      <c r="C68" s="150"/>
      <c r="D68" s="150"/>
      <c r="E68" s="150"/>
      <c r="F68" s="150"/>
      <c r="G68" s="150"/>
    </row>
    <row r="69" spans="1:7" s="85" customFormat="1" ht="34.5" customHeight="1">
      <c r="A69" s="151"/>
      <c r="B69" s="151"/>
      <c r="C69" s="151"/>
      <c r="D69" s="151"/>
      <c r="E69" s="151"/>
      <c r="F69" s="151"/>
      <c r="G69" s="151"/>
    </row>
    <row r="70" spans="1:7" s="84" customFormat="1" ht="34.5" customHeight="1">
      <c r="A70" s="98"/>
      <c r="B70" s="99"/>
      <c r="C70" s="100"/>
      <c r="D70" s="101"/>
      <c r="E70" s="101"/>
      <c r="F70" s="102"/>
      <c r="G70" s="98"/>
    </row>
    <row r="71" spans="1:7" s="84" customFormat="1" ht="34.5" customHeight="1">
      <c r="A71" s="98"/>
      <c r="B71" s="103"/>
      <c r="C71" s="100"/>
      <c r="D71" s="101"/>
      <c r="E71" s="101"/>
      <c r="F71" s="102"/>
      <c r="G71" s="98"/>
    </row>
    <row r="72" spans="1:7" s="84" customFormat="1" ht="34.5" customHeight="1">
      <c r="A72" s="98"/>
      <c r="B72" s="103"/>
      <c r="C72" s="100"/>
      <c r="D72" s="101"/>
      <c r="E72" s="101"/>
      <c r="F72" s="102"/>
      <c r="G72" s="98"/>
    </row>
    <row r="73" spans="1:7" s="84" customFormat="1" ht="34.5" customHeight="1">
      <c r="A73" s="98"/>
      <c r="B73" s="98"/>
      <c r="C73" s="100"/>
      <c r="D73" s="101"/>
      <c r="E73" s="101"/>
      <c r="F73" s="102"/>
      <c r="G73" s="98"/>
    </row>
    <row r="74" spans="1:7" s="84" customFormat="1" ht="34.5" customHeight="1">
      <c r="A74" s="98"/>
      <c r="B74" s="98"/>
      <c r="C74" s="100"/>
      <c r="D74" s="101"/>
      <c r="E74" s="101"/>
      <c r="F74" s="102"/>
      <c r="G74" s="98"/>
    </row>
    <row r="75" spans="1:7" s="84" customFormat="1" ht="34.5" customHeight="1">
      <c r="A75" s="98"/>
      <c r="B75" s="98"/>
      <c r="C75" s="100"/>
      <c r="D75" s="101"/>
      <c r="E75" s="101"/>
      <c r="F75" s="102"/>
      <c r="G75" s="98"/>
    </row>
    <row r="76" spans="1:7" s="84" customFormat="1" ht="34.5" customHeight="1">
      <c r="A76" s="98"/>
      <c r="B76" s="98"/>
      <c r="C76" s="100"/>
      <c r="D76" s="101"/>
      <c r="E76" s="101"/>
      <c r="F76" s="102"/>
      <c r="G76" s="98"/>
    </row>
    <row r="77" spans="1:7" s="84" customFormat="1" ht="34.5" customHeight="1">
      <c r="A77" s="98"/>
      <c r="B77" s="98"/>
      <c r="C77" s="100"/>
      <c r="D77" s="101"/>
      <c r="E77" s="101"/>
      <c r="F77" s="102"/>
      <c r="G77" s="98"/>
    </row>
    <row r="78" spans="1:7" s="84" customFormat="1" ht="34.5" customHeight="1">
      <c r="A78" s="98"/>
      <c r="B78" s="98"/>
      <c r="C78" s="100"/>
      <c r="D78" s="101"/>
      <c r="E78" s="101"/>
      <c r="F78" s="102"/>
      <c r="G78" s="98"/>
    </row>
    <row r="79" spans="1:7" s="84" customFormat="1" ht="34.5" customHeight="1">
      <c r="A79" s="98"/>
      <c r="B79" s="98"/>
      <c r="C79" s="100"/>
      <c r="D79" s="101"/>
      <c r="E79" s="101"/>
      <c r="F79" s="102"/>
      <c r="G79" s="98"/>
    </row>
    <row r="80" spans="1:7" s="84" customFormat="1" ht="34.5" customHeight="1">
      <c r="A80" s="98"/>
      <c r="B80" s="98"/>
      <c r="C80" s="100"/>
      <c r="D80" s="101"/>
      <c r="E80" s="101"/>
      <c r="F80" s="102"/>
      <c r="G80" s="98"/>
    </row>
    <row r="81" spans="1:7" s="84" customFormat="1" ht="34.5" customHeight="1">
      <c r="A81" s="98"/>
      <c r="B81" s="98"/>
      <c r="C81" s="100"/>
      <c r="D81" s="101"/>
      <c r="E81" s="101"/>
      <c r="F81" s="102"/>
      <c r="G81" s="98"/>
    </row>
    <row r="82" spans="1:7" s="84" customFormat="1" ht="34.5" customHeight="1">
      <c r="A82" s="98"/>
      <c r="B82" s="98"/>
      <c r="C82" s="100"/>
      <c r="D82" s="101"/>
      <c r="E82" s="101"/>
      <c r="F82" s="102"/>
      <c r="G82" s="98"/>
    </row>
    <row r="83" spans="1:7" s="84" customFormat="1" ht="34.5" customHeight="1">
      <c r="A83" s="98"/>
      <c r="B83" s="98"/>
      <c r="C83" s="100"/>
      <c r="D83" s="101"/>
      <c r="E83" s="101"/>
      <c r="F83" s="102"/>
      <c r="G83" s="98"/>
    </row>
    <row r="84" spans="1:7" s="84" customFormat="1" ht="34.5" customHeight="1">
      <c r="A84" s="98"/>
      <c r="B84" s="98"/>
      <c r="C84" s="100"/>
      <c r="D84" s="101"/>
      <c r="E84" s="101"/>
      <c r="F84" s="102"/>
      <c r="G84" s="98"/>
    </row>
  </sheetData>
  <sheetProtection/>
  <mergeCells count="51">
    <mergeCell ref="A57:G57"/>
    <mergeCell ref="B60:C60"/>
    <mergeCell ref="E60:G60"/>
    <mergeCell ref="B61:C61"/>
    <mergeCell ref="E61:G61"/>
    <mergeCell ref="A40:A41"/>
    <mergeCell ref="B40:B41"/>
    <mergeCell ref="C40:C41"/>
    <mergeCell ref="D40:D41"/>
    <mergeCell ref="E40:E41"/>
    <mergeCell ref="B33:C33"/>
    <mergeCell ref="E33:G33"/>
    <mergeCell ref="B34:C34"/>
    <mergeCell ref="E34:G34"/>
    <mergeCell ref="G40:G41"/>
    <mergeCell ref="B35:C35"/>
    <mergeCell ref="E64:G64"/>
    <mergeCell ref="A68:A69"/>
    <mergeCell ref="B68:B69"/>
    <mergeCell ref="C68:C69"/>
    <mergeCell ref="D68:D69"/>
    <mergeCell ref="E68:E69"/>
    <mergeCell ref="F68:F69"/>
    <mergeCell ref="G68:G69"/>
    <mergeCell ref="B7:C7"/>
    <mergeCell ref="E7:G7"/>
    <mergeCell ref="E8:G8"/>
    <mergeCell ref="G12:G13"/>
    <mergeCell ref="B63:C63"/>
    <mergeCell ref="E63:G63"/>
    <mergeCell ref="F40:F41"/>
    <mergeCell ref="A29:G29"/>
    <mergeCell ref="B32:C32"/>
    <mergeCell ref="E32:G32"/>
    <mergeCell ref="B62:C62"/>
    <mergeCell ref="E62:G62"/>
    <mergeCell ref="A12:A13"/>
    <mergeCell ref="B12:B13"/>
    <mergeCell ref="C12:C13"/>
    <mergeCell ref="D12:D13"/>
    <mergeCell ref="E12:E13"/>
    <mergeCell ref="F12:F13"/>
    <mergeCell ref="E35:G35"/>
    <mergeCell ref="E36:G36"/>
    <mergeCell ref="A1:G1"/>
    <mergeCell ref="B4:C4"/>
    <mergeCell ref="E4:G4"/>
    <mergeCell ref="B5:C5"/>
    <mergeCell ref="E5:G5"/>
    <mergeCell ref="B6:C6"/>
    <mergeCell ref="E6:G6"/>
  </mergeCells>
  <printOptions horizontalCentered="1"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B2" sqref="B2"/>
    </sheetView>
  </sheetViews>
  <sheetFormatPr defaultColWidth="9.33203125" defaultRowHeight="18" customHeight="1"/>
  <cols>
    <col min="1" max="1" width="25" style="0" customWidth="1"/>
    <col min="2" max="2" width="10" style="0" customWidth="1"/>
    <col min="3" max="3" width="25" style="0" customWidth="1"/>
    <col min="4" max="5" width="30" style="0" customWidth="1"/>
  </cols>
  <sheetData>
    <row r="1" ht="18" customHeight="1">
      <c r="A1" t="s">
        <v>94</v>
      </c>
    </row>
    <row r="2" spans="1:5" ht="18" customHeight="1">
      <c r="A2" s="6" t="s">
        <v>14</v>
      </c>
      <c r="B2" s="7" t="s">
        <v>96</v>
      </c>
      <c r="C2" s="7" t="s">
        <v>26</v>
      </c>
      <c r="D2" s="12" t="s">
        <v>33</v>
      </c>
      <c r="E2" s="8" t="s">
        <v>3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 r:id="rId1"/>
  <headerFooter alignWithMargins="0">
    <oddHeader>&amp;RPage :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showFormulas="1" zoomScalePageLayoutView="0" workbookViewId="0" topLeftCell="A1">
      <selection activeCell="B2" sqref="B2"/>
    </sheetView>
  </sheetViews>
  <sheetFormatPr defaultColWidth="9.33203125" defaultRowHeight="18" customHeight="1"/>
  <cols>
    <col min="1" max="1" width="15" style="0" customWidth="1"/>
    <col min="2" max="2" width="5" style="0" customWidth="1"/>
    <col min="3" max="4" width="20" style="0" customWidth="1"/>
  </cols>
  <sheetData>
    <row r="1" ht="18" customHeight="1">
      <c r="A1" t="s">
        <v>112</v>
      </c>
    </row>
    <row r="2" spans="1:4" ht="18" customHeight="1">
      <c r="A2" s="6" t="s">
        <v>14</v>
      </c>
      <c r="B2" s="7" t="s">
        <v>96</v>
      </c>
      <c r="C2" s="7" t="s">
        <v>26</v>
      </c>
      <c r="D2" s="9" t="s">
        <v>33</v>
      </c>
    </row>
    <row r="3" spans="1:4" ht="18" customHeight="1">
      <c r="A3" s="3" t="s">
        <v>83</v>
      </c>
      <c r="B3" s="1" t="s">
        <v>43</v>
      </c>
      <c r="C3" s="1" t="s">
        <v>121</v>
      </c>
      <c r="D3" s="10" t="s">
        <v>129</v>
      </c>
    </row>
    <row r="4" spans="1:4" ht="18" customHeight="1">
      <c r="A4" s="3" t="s">
        <v>77</v>
      </c>
      <c r="B4" s="1" t="s">
        <v>126</v>
      </c>
      <c r="C4" s="1">
        <v>1180</v>
      </c>
      <c r="D4" s="10" t="s">
        <v>58</v>
      </c>
    </row>
    <row r="5" spans="1:4" ht="18" customHeight="1">
      <c r="A5" s="3" t="s">
        <v>29</v>
      </c>
      <c r="B5" s="1" t="s">
        <v>126</v>
      </c>
      <c r="C5" s="1">
        <v>1180</v>
      </c>
      <c r="D5" s="10" t="s">
        <v>106</v>
      </c>
    </row>
    <row r="6" spans="1:4" ht="18" customHeight="1">
      <c r="A6" s="3" t="s">
        <v>17</v>
      </c>
      <c r="B6" s="1" t="s">
        <v>126</v>
      </c>
      <c r="C6" s="1">
        <v>13.2</v>
      </c>
      <c r="D6" s="10" t="s">
        <v>103</v>
      </c>
    </row>
    <row r="7" spans="1:4" ht="18" customHeight="1">
      <c r="A7" s="3" t="s">
        <v>38</v>
      </c>
      <c r="B7" s="1" t="s">
        <v>126</v>
      </c>
      <c r="C7" s="1">
        <v>724.05</v>
      </c>
      <c r="D7" s="10" t="s">
        <v>75</v>
      </c>
    </row>
    <row r="8" spans="1:4" ht="18" customHeight="1">
      <c r="A8" s="3" t="s">
        <v>62</v>
      </c>
      <c r="B8" s="1" t="s">
        <v>126</v>
      </c>
      <c r="C8" s="1">
        <v>1000</v>
      </c>
      <c r="D8" s="10" t="s">
        <v>111</v>
      </c>
    </row>
    <row r="9" spans="1:4" ht="18" customHeight="1">
      <c r="A9" s="3" t="s">
        <v>23</v>
      </c>
      <c r="B9" s="1" t="s">
        <v>126</v>
      </c>
      <c r="C9" s="1">
        <v>1580</v>
      </c>
      <c r="D9" s="10" t="s">
        <v>59</v>
      </c>
    </row>
    <row r="10" spans="1:4" ht="18" customHeight="1">
      <c r="A10" s="3" t="s">
        <v>90</v>
      </c>
      <c r="B10" s="1" t="s">
        <v>43</v>
      </c>
      <c r="C10" s="1" t="s">
        <v>1</v>
      </c>
      <c r="D10" s="10" t="s">
        <v>93</v>
      </c>
    </row>
    <row r="11" spans="1:4" ht="18" customHeight="1">
      <c r="A11" s="3" t="s">
        <v>0</v>
      </c>
      <c r="B11" s="1" t="s">
        <v>43</v>
      </c>
      <c r="C11" s="1" t="s">
        <v>1</v>
      </c>
      <c r="D11" s="10" t="s">
        <v>30</v>
      </c>
    </row>
    <row r="12" spans="1:4" ht="18" customHeight="1">
      <c r="A12" s="3" t="s">
        <v>74</v>
      </c>
      <c r="B12" s="1" t="s">
        <v>43</v>
      </c>
      <c r="C12" s="1" t="s">
        <v>70</v>
      </c>
      <c r="D12" s="10" t="s">
        <v>89</v>
      </c>
    </row>
    <row r="13" spans="1:4" ht="18" customHeight="1">
      <c r="A13" s="3" t="s">
        <v>5</v>
      </c>
      <c r="B13" s="1" t="s">
        <v>126</v>
      </c>
      <c r="C13" s="1">
        <v>1.25</v>
      </c>
      <c r="D13" s="10" t="s">
        <v>102</v>
      </c>
    </row>
    <row r="14" spans="1:4" ht="18" customHeight="1">
      <c r="A14" s="3" t="s">
        <v>76</v>
      </c>
      <c r="B14" s="1" t="s">
        <v>126</v>
      </c>
      <c r="C14" s="1">
        <v>1.071</v>
      </c>
      <c r="D14" s="10" t="s">
        <v>47</v>
      </c>
    </row>
    <row r="15" spans="1:4" ht="18" customHeight="1">
      <c r="A15" s="3" t="s">
        <v>67</v>
      </c>
      <c r="B15" s="1" t="s">
        <v>43</v>
      </c>
      <c r="C15" s="1" t="s">
        <v>107</v>
      </c>
      <c r="D15" s="10" t="s">
        <v>79</v>
      </c>
    </row>
    <row r="16" spans="1:4" ht="18" customHeight="1">
      <c r="A16" s="3" t="s">
        <v>82</v>
      </c>
      <c r="B16" s="1" t="s">
        <v>43</v>
      </c>
      <c r="C16" s="1" t="s">
        <v>107</v>
      </c>
      <c r="D16" s="10" t="s">
        <v>87</v>
      </c>
    </row>
    <row r="17" spans="1:4" ht="18" customHeight="1">
      <c r="A17" s="3" t="s">
        <v>28</v>
      </c>
      <c r="B17" s="1" t="s">
        <v>43</v>
      </c>
      <c r="C17" s="1" t="s">
        <v>107</v>
      </c>
      <c r="D17" s="10" t="s">
        <v>25</v>
      </c>
    </row>
    <row r="18" spans="1:4" ht="18" customHeight="1">
      <c r="A18" s="3" t="s">
        <v>50</v>
      </c>
      <c r="B18" s="1" t="s">
        <v>43</v>
      </c>
      <c r="C18" s="2">
        <f aca="true" t="shared" si="0" ref="C18:C23">25/20*16/12*1/8</f>
        <v>0.20833333333333334</v>
      </c>
      <c r="D18" s="10" t="s">
        <v>119</v>
      </c>
    </row>
    <row r="19" spans="1:4" ht="18" customHeight="1">
      <c r="A19" s="3" t="s">
        <v>113</v>
      </c>
      <c r="B19" s="1" t="s">
        <v>43</v>
      </c>
      <c r="C19" s="2">
        <f t="shared" si="0"/>
        <v>0.20833333333333334</v>
      </c>
      <c r="D19" s="10" t="s">
        <v>41</v>
      </c>
    </row>
    <row r="20" spans="1:4" ht="18" customHeight="1">
      <c r="A20" s="3" t="s">
        <v>13</v>
      </c>
      <c r="B20" s="1" t="s">
        <v>43</v>
      </c>
      <c r="C20" s="2">
        <f t="shared" si="0"/>
        <v>0.20833333333333334</v>
      </c>
      <c r="D20" s="10" t="s">
        <v>88</v>
      </c>
    </row>
    <row r="21" spans="1:4" ht="18" customHeight="1">
      <c r="A21" s="3" t="s">
        <v>44</v>
      </c>
      <c r="B21" s="1" t="s">
        <v>43</v>
      </c>
      <c r="C21" s="2">
        <f t="shared" si="0"/>
        <v>0.20833333333333334</v>
      </c>
      <c r="D21" s="10" t="s">
        <v>57</v>
      </c>
    </row>
    <row r="22" spans="1:4" ht="18" customHeight="1">
      <c r="A22" s="3" t="s">
        <v>117</v>
      </c>
      <c r="B22" s="1" t="s">
        <v>43</v>
      </c>
      <c r="C22" s="2">
        <f t="shared" si="0"/>
        <v>0.20833333333333334</v>
      </c>
      <c r="D22" s="10" t="s">
        <v>95</v>
      </c>
    </row>
    <row r="23" spans="1:4" ht="18" customHeight="1">
      <c r="A23" s="3" t="s">
        <v>63</v>
      </c>
      <c r="B23" s="1" t="s">
        <v>43</v>
      </c>
      <c r="C23" s="2">
        <f t="shared" si="0"/>
        <v>0.20833333333333334</v>
      </c>
      <c r="D23" s="10" t="s">
        <v>9</v>
      </c>
    </row>
    <row r="24" spans="1:4" ht="18" customHeight="1">
      <c r="A24" s="3" t="s">
        <v>98</v>
      </c>
      <c r="B24" s="1" t="s">
        <v>126</v>
      </c>
      <c r="C24" s="1">
        <v>1</v>
      </c>
      <c r="D24" s="10" t="s">
        <v>69</v>
      </c>
    </row>
    <row r="25" spans="1:4" ht="18" customHeight="1">
      <c r="A25" s="3" t="s">
        <v>65</v>
      </c>
      <c r="B25" s="1" t="s">
        <v>126</v>
      </c>
      <c r="C25" s="1">
        <v>1.5</v>
      </c>
      <c r="D25" s="10" t="s">
        <v>116</v>
      </c>
    </row>
    <row r="26" spans="1:4" ht="18" customHeight="1">
      <c r="A26" s="3" t="s">
        <v>114</v>
      </c>
      <c r="B26" s="1" t="s">
        <v>126</v>
      </c>
      <c r="C26" s="1">
        <v>1.16</v>
      </c>
      <c r="D26" s="10" t="s">
        <v>123</v>
      </c>
    </row>
    <row r="27" spans="1:4" ht="18" customHeight="1">
      <c r="A27" s="3" t="s">
        <v>125</v>
      </c>
      <c r="B27" s="1" t="s">
        <v>126</v>
      </c>
      <c r="C27" s="1">
        <v>1.6</v>
      </c>
      <c r="D27" s="10" t="s">
        <v>37</v>
      </c>
    </row>
    <row r="28" spans="1:4" ht="18" customHeight="1">
      <c r="A28" s="3" t="s">
        <v>35</v>
      </c>
      <c r="B28" s="1" t="s">
        <v>126</v>
      </c>
      <c r="C28" s="1">
        <v>1.6</v>
      </c>
      <c r="D28" s="10" t="s">
        <v>22</v>
      </c>
    </row>
    <row r="29" spans="1:4" ht="18" customHeight="1">
      <c r="A29" s="3" t="s">
        <v>104</v>
      </c>
      <c r="B29" s="1" t="s">
        <v>126</v>
      </c>
      <c r="C29" s="1">
        <v>1.6</v>
      </c>
      <c r="D29" s="10" t="s">
        <v>78</v>
      </c>
    </row>
    <row r="30" spans="1:4" ht="18" customHeight="1">
      <c r="A30" s="3" t="s">
        <v>61</v>
      </c>
      <c r="B30" s="1" t="s">
        <v>126</v>
      </c>
      <c r="C30" s="1">
        <v>1.94</v>
      </c>
      <c r="D30" s="10" t="s">
        <v>81</v>
      </c>
    </row>
    <row r="31" spans="1:4" ht="18" customHeight="1">
      <c r="A31" s="3" t="s">
        <v>110</v>
      </c>
      <c r="B31" s="1" t="s">
        <v>126</v>
      </c>
      <c r="C31" s="1">
        <v>1.94</v>
      </c>
      <c r="D31" s="10" t="s">
        <v>92</v>
      </c>
    </row>
    <row r="32" spans="1:4" ht="18" customHeight="1">
      <c r="A32" s="3" t="s">
        <v>46</v>
      </c>
      <c r="B32" s="1" t="s">
        <v>126</v>
      </c>
      <c r="C32" s="1">
        <v>1.94</v>
      </c>
      <c r="D32" s="10" t="s">
        <v>24</v>
      </c>
    </row>
    <row r="33" spans="1:4" ht="18" customHeight="1">
      <c r="A33" s="3" t="s">
        <v>32</v>
      </c>
      <c r="B33" s="1" t="s">
        <v>126</v>
      </c>
      <c r="C33" s="1">
        <v>1</v>
      </c>
      <c r="D33" s="10" t="s">
        <v>34</v>
      </c>
    </row>
    <row r="34" spans="1:4" ht="18" customHeight="1">
      <c r="A34" s="3" t="s">
        <v>85</v>
      </c>
      <c r="B34" s="1" t="s">
        <v>126</v>
      </c>
      <c r="C34" s="1">
        <v>1</v>
      </c>
      <c r="D34" s="10" t="s">
        <v>45</v>
      </c>
    </row>
    <row r="35" spans="1:4" ht="18" customHeight="1">
      <c r="A35" s="3" t="s">
        <v>12</v>
      </c>
      <c r="B35" s="1" t="s">
        <v>126</v>
      </c>
      <c r="C35" s="1">
        <v>1</v>
      </c>
      <c r="D35" s="10" t="s">
        <v>73</v>
      </c>
    </row>
    <row r="36" spans="1:4" ht="18" customHeight="1">
      <c r="A36" s="3" t="s">
        <v>84</v>
      </c>
      <c r="B36" s="1" t="s">
        <v>43</v>
      </c>
      <c r="C36" s="1" t="s">
        <v>107</v>
      </c>
      <c r="D36" s="10" t="s">
        <v>11</v>
      </c>
    </row>
    <row r="37" spans="1:4" ht="18" customHeight="1">
      <c r="A37" s="3" t="s">
        <v>68</v>
      </c>
      <c r="B37" s="1" t="s">
        <v>43</v>
      </c>
      <c r="C37" s="1" t="s">
        <v>107</v>
      </c>
      <c r="D37" s="10" t="s">
        <v>10</v>
      </c>
    </row>
    <row r="38" spans="1:4" ht="18" customHeight="1">
      <c r="A38" s="3" t="s">
        <v>16</v>
      </c>
      <c r="B38" s="1" t="s">
        <v>43</v>
      </c>
      <c r="C38" s="1" t="s">
        <v>107</v>
      </c>
      <c r="D38" s="10" t="s">
        <v>4</v>
      </c>
    </row>
    <row r="39" spans="1:4" ht="18" customHeight="1">
      <c r="A39" s="3" t="s">
        <v>99</v>
      </c>
      <c r="B39" s="1" t="s">
        <v>126</v>
      </c>
      <c r="C39" s="1">
        <v>1.11</v>
      </c>
      <c r="D39" s="10" t="s">
        <v>109</v>
      </c>
    </row>
    <row r="40" spans="1:4" ht="18" customHeight="1">
      <c r="A40" s="3" t="s">
        <v>48</v>
      </c>
      <c r="B40" s="1" t="s">
        <v>126</v>
      </c>
      <c r="C40" s="1">
        <v>1.12</v>
      </c>
      <c r="D40" s="10" t="s">
        <v>42</v>
      </c>
    </row>
    <row r="41" spans="1:4" ht="18" customHeight="1">
      <c r="A41" s="3" t="s">
        <v>115</v>
      </c>
      <c r="B41" s="1" t="s">
        <v>43</v>
      </c>
      <c r="C41" s="1" t="s">
        <v>122</v>
      </c>
      <c r="D41" s="10" t="s">
        <v>105</v>
      </c>
    </row>
    <row r="42" spans="1:4" ht="18" customHeight="1">
      <c r="A42" s="3" t="s">
        <v>97</v>
      </c>
      <c r="B42" s="1" t="s">
        <v>43</v>
      </c>
      <c r="C42" s="1" t="s">
        <v>122</v>
      </c>
      <c r="D42" s="10" t="s">
        <v>108</v>
      </c>
    </row>
    <row r="43" spans="1:4" ht="18" customHeight="1">
      <c r="A43" s="3" t="s">
        <v>52</v>
      </c>
      <c r="B43" s="1" t="s">
        <v>43</v>
      </c>
      <c r="C43" s="1" t="s">
        <v>122</v>
      </c>
      <c r="D43" s="10" t="s">
        <v>66</v>
      </c>
    </row>
    <row r="44" spans="1:4" ht="18" customHeight="1">
      <c r="A44" s="3" t="s">
        <v>91</v>
      </c>
      <c r="B44" s="1" t="s">
        <v>43</v>
      </c>
      <c r="C44" s="1" t="s">
        <v>107</v>
      </c>
      <c r="D44" s="10" t="s">
        <v>129</v>
      </c>
    </row>
    <row r="45" spans="1:4" ht="18" customHeight="1">
      <c r="A45" s="3" t="s">
        <v>53</v>
      </c>
      <c r="B45" s="1" t="s">
        <v>43</v>
      </c>
      <c r="C45" s="1" t="s">
        <v>129</v>
      </c>
      <c r="D45" s="10" t="s">
        <v>129</v>
      </c>
    </row>
    <row r="46" spans="1:4" ht="18" customHeight="1">
      <c r="A46" s="3" t="s">
        <v>40</v>
      </c>
      <c r="B46" s="1" t="s">
        <v>43</v>
      </c>
      <c r="C46" s="1" t="s">
        <v>129</v>
      </c>
      <c r="D46" s="10" t="s">
        <v>129</v>
      </c>
    </row>
    <row r="47" spans="1:4" ht="18" customHeight="1">
      <c r="A47" s="3" t="s">
        <v>71</v>
      </c>
      <c r="B47" s="1" t="s">
        <v>126</v>
      </c>
      <c r="C47" s="1">
        <v>1180</v>
      </c>
      <c r="D47" s="10" t="s">
        <v>39</v>
      </c>
    </row>
    <row r="48" spans="1:4" ht="18" customHeight="1">
      <c r="A48" s="3" t="s">
        <v>15</v>
      </c>
      <c r="B48" s="1" t="s">
        <v>126</v>
      </c>
      <c r="C48" s="1">
        <v>1180</v>
      </c>
      <c r="D48" s="10" t="s">
        <v>80</v>
      </c>
    </row>
    <row r="49" spans="1:4" ht="18" customHeight="1">
      <c r="A49" s="3" t="s">
        <v>20</v>
      </c>
      <c r="B49" s="1" t="s">
        <v>43</v>
      </c>
      <c r="C49" s="1" t="s">
        <v>64</v>
      </c>
      <c r="D49" s="10" t="s">
        <v>129</v>
      </c>
    </row>
    <row r="50" spans="1:4" ht="18" customHeight="1">
      <c r="A50" s="4" t="s">
        <v>18</v>
      </c>
      <c r="B50" s="5" t="s">
        <v>43</v>
      </c>
      <c r="C50" s="5" t="s">
        <v>107</v>
      </c>
      <c r="D50" s="11" t="s">
        <v>129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 r:id="rId1"/>
  <headerFooter alignWithMargins="0">
    <oddHeader>&amp;RPage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RedPlan_KMY</dc:creator>
  <cp:keywords/>
  <dc:description/>
  <cp:lastModifiedBy>USER</cp:lastModifiedBy>
  <cp:lastPrinted>2023-05-17T04:01:09Z</cp:lastPrinted>
  <dcterms:created xsi:type="dcterms:W3CDTF">2022-07-15T02:26:58Z</dcterms:created>
  <dcterms:modified xsi:type="dcterms:W3CDTF">2023-05-17T06:47:03Z</dcterms:modified>
  <cp:category/>
  <cp:version/>
  <cp:contentType/>
  <cp:contentStatus/>
</cp:coreProperties>
</file>